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600" windowHeight="3810" tabRatio="852"/>
  </bookViews>
  <sheets>
    <sheet name="Contents" sheetId="1" r:id="rId1"/>
    <sheet name="Table 1 Applications by Month" sheetId="65" r:id="rId2"/>
    <sheet name="Table 2 Applications by Type" sheetId="66" r:id="rId3"/>
    <sheet name="Table 3 Applications by Channel" sheetId="73" r:id="rId4"/>
    <sheet name="Table 4 Applications by Age " sheetId="88" r:id="rId5"/>
    <sheet name="Table 5 Applications by LA " sheetId="89" r:id="rId6"/>
    <sheet name="Table 6 Components by LA" sheetId="74" r:id="rId7"/>
    <sheet name="Table 7 Applications by Board" sheetId="90" r:id="rId8"/>
    <sheet name="Table 8 Components by Board" sheetId="75" r:id="rId9"/>
    <sheet name="Table 9 Applications by Births" sheetId="71" r:id="rId10"/>
    <sheet name="Table 10 Processing Times" sheetId="72" r:id="rId11"/>
    <sheet name="Table 11 Payments by LA" sheetId="55" r:id="rId12"/>
    <sheet name="Table 12 Payments by Month" sheetId="64" r:id="rId13"/>
    <sheet name="Table 13a Re-determinations" sheetId="81" r:id="rId14"/>
    <sheet name="Table 13b Appeals" sheetId="93" r:id="rId15"/>
    <sheet name="Table 14 Reviews" sheetId="82" r:id="rId16"/>
    <sheet name="Chart 1" sheetId="23" r:id="rId17"/>
    <sheet name="Chart 2" sheetId="83" r:id="rId18"/>
    <sheet name="Chart 3" sheetId="84" r:id="rId19"/>
    <sheet name="Table 2 - Full data" sheetId="98" r:id="rId20"/>
    <sheet name="Table 4 - Full data" sheetId="97" r:id="rId21"/>
    <sheet name="Table 5 - Full data" sheetId="92" r:id="rId22"/>
    <sheet name="Table 6 - Full data" sheetId="94" r:id="rId23"/>
    <sheet name="Table 7 - Full data" sheetId="95" r:id="rId24"/>
    <sheet name="Table 8 - Full data" sheetId="96" r:id="rId25"/>
    <sheet name="Table 9 Full Data" sheetId="99" r:id="rId26"/>
  </sheets>
  <externalReferences>
    <externalReference r:id="rId27"/>
  </externalReferences>
  <definedNames>
    <definedName name="BENEFIT">[1]DATA!$D$2:$D$8</definedName>
    <definedName name="ExternalData_1" localSheetId="10" hidden="1">'Table 10 Processing Times'!$A$6:$I$44</definedName>
    <definedName name="ExternalData_1" localSheetId="3" hidden="1">'Table 3 Applications by Channel'!$A$6:$H$43</definedName>
    <definedName name="HOLIDAYS">[1]DATA!$K$2:$K$32</definedName>
    <definedName name="OUTCOME">[1]DATA!$W$2:$W$6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5" i="89" l="1"/>
  <c r="A30" i="89"/>
  <c r="A22" i="89"/>
  <c r="A17" i="89"/>
  <c r="A15" i="89"/>
  <c r="A12" i="66" l="1"/>
  <c r="A11" i="66"/>
  <c r="A10" i="66"/>
  <c r="A9" i="89" l="1"/>
  <c r="A9" i="71"/>
  <c r="H9" i="71" s="1"/>
  <c r="A12" i="71"/>
  <c r="B12" i="71" s="1"/>
  <c r="A11" i="71"/>
  <c r="B11" i="71" s="1"/>
  <c r="A10" i="71"/>
  <c r="B10" i="71" s="1"/>
  <c r="A9" i="75"/>
  <c r="B9" i="75" s="1"/>
  <c r="A24" i="75"/>
  <c r="A25" i="75"/>
  <c r="K25" i="75" s="1"/>
  <c r="A26" i="75"/>
  <c r="L26" i="75" s="1"/>
  <c r="A23" i="75"/>
  <c r="K23" i="75" s="1"/>
  <c r="A25" i="90"/>
  <c r="J25" i="90" s="1"/>
  <c r="A24" i="90"/>
  <c r="A26" i="90"/>
  <c r="H26" i="90" s="1"/>
  <c r="A23" i="90"/>
  <c r="H23" i="90" s="1"/>
  <c r="B9" i="71" l="1"/>
  <c r="D11" i="71"/>
  <c r="G9" i="71"/>
  <c r="C12" i="71"/>
  <c r="I9" i="71"/>
  <c r="J9" i="71"/>
  <c r="J10" i="71"/>
  <c r="J12" i="71"/>
  <c r="I10" i="71"/>
  <c r="F10" i="71"/>
  <c r="I12" i="71"/>
  <c r="H10" i="71"/>
  <c r="H12" i="71"/>
  <c r="F12" i="71"/>
  <c r="D10" i="71"/>
  <c r="C9" i="71"/>
  <c r="D12" i="71"/>
  <c r="C10" i="71"/>
  <c r="J11" i="71"/>
  <c r="D9" i="71"/>
  <c r="I11" i="71"/>
  <c r="C11" i="71"/>
  <c r="E9" i="71"/>
  <c r="H11" i="71"/>
  <c r="F9" i="71"/>
  <c r="G12" i="71"/>
  <c r="G11" i="71"/>
  <c r="G10" i="71"/>
  <c r="F11" i="71"/>
  <c r="E12" i="71"/>
  <c r="E11" i="71"/>
  <c r="E10" i="71"/>
  <c r="H26" i="75"/>
  <c r="E26" i="75"/>
  <c r="M26" i="75"/>
  <c r="F26" i="75"/>
  <c r="G26" i="75"/>
  <c r="I26" i="75"/>
  <c r="B26" i="75"/>
  <c r="J26" i="75"/>
  <c r="C26" i="75"/>
  <c r="K26" i="75"/>
  <c r="D26" i="75"/>
  <c r="D25" i="75"/>
  <c r="L25" i="75"/>
  <c r="E25" i="75"/>
  <c r="M25" i="75"/>
  <c r="F25" i="75"/>
  <c r="G25" i="75"/>
  <c r="H25" i="75"/>
  <c r="B25" i="75"/>
  <c r="I25" i="75"/>
  <c r="J25" i="75"/>
  <c r="C25" i="75"/>
  <c r="D23" i="75"/>
  <c r="L23" i="75"/>
  <c r="E23" i="75"/>
  <c r="M23" i="75"/>
  <c r="F23" i="75"/>
  <c r="G23" i="75"/>
  <c r="H23" i="75"/>
  <c r="J23" i="75"/>
  <c r="I23" i="75"/>
  <c r="B23" i="75"/>
  <c r="C23" i="75"/>
  <c r="I26" i="90"/>
  <c r="B26" i="90"/>
  <c r="J26" i="90"/>
  <c r="C26" i="90"/>
  <c r="D26" i="90"/>
  <c r="E26" i="90"/>
  <c r="F26" i="90"/>
  <c r="G26" i="90"/>
  <c r="H25" i="90"/>
  <c r="I25" i="90"/>
  <c r="C25" i="90"/>
  <c r="F25" i="90"/>
  <c r="B25" i="90"/>
  <c r="D25" i="90"/>
  <c r="E25" i="90"/>
  <c r="G25" i="90"/>
  <c r="G23" i="90"/>
  <c r="I23" i="90"/>
  <c r="B23" i="90"/>
  <c r="J23" i="90"/>
  <c r="C23" i="90"/>
  <c r="D23" i="90"/>
  <c r="E23" i="90"/>
  <c r="F23" i="90"/>
  <c r="I11" i="66" l="1"/>
  <c r="G12" i="66"/>
  <c r="A14" i="66"/>
  <c r="C14" i="66" s="1"/>
  <c r="A13" i="66"/>
  <c r="E13" i="66" s="1"/>
  <c r="C10" i="66"/>
  <c r="A9" i="66"/>
  <c r="D9" i="66" s="1"/>
  <c r="A9" i="88"/>
  <c r="B9" i="88" s="1"/>
  <c r="J14" i="66" l="1"/>
  <c r="F12" i="66"/>
  <c r="H11" i="66"/>
  <c r="E9" i="66"/>
  <c r="F9" i="66"/>
  <c r="B14" i="66"/>
  <c r="G9" i="66"/>
  <c r="D13" i="66"/>
  <c r="J10" i="66"/>
  <c r="H14" i="66"/>
  <c r="D12" i="66"/>
  <c r="H10" i="66"/>
  <c r="B10" i="66"/>
  <c r="H9" i="66"/>
  <c r="G14" i="66"/>
  <c r="I13" i="66"/>
  <c r="K12" i="66"/>
  <c r="C12" i="66"/>
  <c r="E11" i="66"/>
  <c r="G10" i="66"/>
  <c r="H13" i="66"/>
  <c r="B12" i="66"/>
  <c r="F10" i="66"/>
  <c r="B9" i="66"/>
  <c r="J9" i="66"/>
  <c r="E14" i="66"/>
  <c r="G13" i="66"/>
  <c r="I12" i="66"/>
  <c r="K11" i="66"/>
  <c r="C11" i="66"/>
  <c r="E10" i="66"/>
  <c r="J13" i="66"/>
  <c r="F11" i="66"/>
  <c r="I9" i="66"/>
  <c r="F14" i="66"/>
  <c r="J12" i="66"/>
  <c r="D11" i="66"/>
  <c r="C9" i="66"/>
  <c r="K9" i="66"/>
  <c r="D14" i="66"/>
  <c r="F13" i="66"/>
  <c r="H12" i="66"/>
  <c r="J11" i="66"/>
  <c r="B11" i="66"/>
  <c r="D10" i="66"/>
  <c r="I14" i="66"/>
  <c r="K13" i="66"/>
  <c r="C13" i="66"/>
  <c r="E12" i="66"/>
  <c r="G11" i="66"/>
  <c r="I10" i="66"/>
  <c r="B13" i="66"/>
  <c r="K14" i="66"/>
  <c r="K10" i="66"/>
  <c r="M24" i="75" l="1"/>
  <c r="A22" i="75"/>
  <c r="M22" i="75" s="1"/>
  <c r="A21" i="75"/>
  <c r="K21" i="75" s="1"/>
  <c r="A20" i="75"/>
  <c r="L20" i="75" s="1"/>
  <c r="A19" i="75"/>
  <c r="J19" i="75" s="1"/>
  <c r="A18" i="75"/>
  <c r="J18" i="75" s="1"/>
  <c r="A17" i="75"/>
  <c r="M17" i="75" s="1"/>
  <c r="A16" i="75"/>
  <c r="M16" i="75" s="1"/>
  <c r="A15" i="75"/>
  <c r="K15" i="75" s="1"/>
  <c r="A14" i="75"/>
  <c r="L14" i="75" s="1"/>
  <c r="A13" i="75"/>
  <c r="J13" i="75" s="1"/>
  <c r="A12" i="75"/>
  <c r="K12" i="75" s="1"/>
  <c r="A11" i="75"/>
  <c r="J11" i="75" s="1"/>
  <c r="A10" i="75"/>
  <c r="A9" i="90"/>
  <c r="F9" i="90" s="1"/>
  <c r="F24" i="90"/>
  <c r="A22" i="90"/>
  <c r="C22" i="90" s="1"/>
  <c r="A21" i="90"/>
  <c r="J21" i="90" s="1"/>
  <c r="A20" i="90"/>
  <c r="H20" i="90" s="1"/>
  <c r="A19" i="90"/>
  <c r="D19" i="90" s="1"/>
  <c r="A18" i="90"/>
  <c r="F18" i="90" s="1"/>
  <c r="A17" i="90"/>
  <c r="D17" i="90" s="1"/>
  <c r="A16" i="90"/>
  <c r="F16" i="90" s="1"/>
  <c r="A15" i="90"/>
  <c r="D15" i="90" s="1"/>
  <c r="A14" i="90"/>
  <c r="G14" i="90" s="1"/>
  <c r="A13" i="90"/>
  <c r="J13" i="90" s="1"/>
  <c r="A12" i="90"/>
  <c r="J12" i="90" s="1"/>
  <c r="A11" i="90"/>
  <c r="B11" i="90" s="1"/>
  <c r="A10" i="90"/>
  <c r="B10" i="90" s="1"/>
  <c r="A16" i="88"/>
  <c r="J16" i="88" s="1"/>
  <c r="A18" i="88"/>
  <c r="J18" i="88" s="1"/>
  <c r="A21" i="88"/>
  <c r="I21" i="88" s="1"/>
  <c r="I9" i="88"/>
  <c r="H9" i="88"/>
  <c r="A20" i="88"/>
  <c r="E20" i="88" s="1"/>
  <c r="A19" i="88"/>
  <c r="H19" i="88" s="1"/>
  <c r="A17" i="88"/>
  <c r="D17" i="88" s="1"/>
  <c r="A15" i="88"/>
  <c r="G15" i="88" s="1"/>
  <c r="A14" i="88"/>
  <c r="E14" i="88" s="1"/>
  <c r="A13" i="88"/>
  <c r="F13" i="88" s="1"/>
  <c r="A12" i="88"/>
  <c r="I12" i="88" s="1"/>
  <c r="A11" i="88"/>
  <c r="E11" i="88" s="1"/>
  <c r="A10" i="88"/>
  <c r="H10" i="88" s="1"/>
  <c r="D9" i="88"/>
  <c r="A44" i="74"/>
  <c r="K44" i="74" s="1"/>
  <c r="A43" i="74"/>
  <c r="J43" i="74" s="1"/>
  <c r="A42" i="74"/>
  <c r="M42" i="74" s="1"/>
  <c r="A41" i="74"/>
  <c r="J41" i="74" s="1"/>
  <c r="A40" i="74"/>
  <c r="L40" i="74" s="1"/>
  <c r="A39" i="74"/>
  <c r="L39" i="74" s="1"/>
  <c r="A38" i="74"/>
  <c r="I38" i="74" s="1"/>
  <c r="A37" i="74"/>
  <c r="M37" i="74" s="1"/>
  <c r="A36" i="74"/>
  <c r="K36" i="74" s="1"/>
  <c r="A35" i="74"/>
  <c r="J35" i="74" s="1"/>
  <c r="A34" i="74"/>
  <c r="M34" i="74" s="1"/>
  <c r="A33" i="74"/>
  <c r="J33" i="74" s="1"/>
  <c r="A32" i="74"/>
  <c r="L32" i="74" s="1"/>
  <c r="A31" i="74"/>
  <c r="L31" i="74" s="1"/>
  <c r="A30" i="74"/>
  <c r="I30" i="74" s="1"/>
  <c r="A29" i="74"/>
  <c r="M29" i="74" s="1"/>
  <c r="A28" i="74"/>
  <c r="K28" i="74" s="1"/>
  <c r="A27" i="74"/>
  <c r="J27" i="74" s="1"/>
  <c r="A26" i="74"/>
  <c r="M26" i="74" s="1"/>
  <c r="A25" i="74"/>
  <c r="J25" i="74" s="1"/>
  <c r="A24" i="74"/>
  <c r="L24" i="74" s="1"/>
  <c r="A23" i="74"/>
  <c r="L23" i="74" s="1"/>
  <c r="A22" i="74"/>
  <c r="I22" i="74" s="1"/>
  <c r="A21" i="74"/>
  <c r="M21" i="74" s="1"/>
  <c r="A20" i="74"/>
  <c r="K20" i="74" s="1"/>
  <c r="A19" i="74"/>
  <c r="J19" i="74" s="1"/>
  <c r="A18" i="74"/>
  <c r="A17" i="74"/>
  <c r="J17" i="74" s="1"/>
  <c r="A16" i="74"/>
  <c r="L16" i="74" s="1"/>
  <c r="A15" i="74"/>
  <c r="L15" i="74" s="1"/>
  <c r="A14" i="74"/>
  <c r="I14" i="74" s="1"/>
  <c r="A13" i="74"/>
  <c r="M13" i="74" s="1"/>
  <c r="A12" i="74"/>
  <c r="K12" i="74" s="1"/>
  <c r="A11" i="74"/>
  <c r="A10" i="74"/>
  <c r="M10" i="74" s="1"/>
  <c r="A9" i="74"/>
  <c r="J9" i="74" s="1"/>
  <c r="J10" i="75" l="1"/>
  <c r="B10" i="75"/>
  <c r="B21" i="75"/>
  <c r="B22" i="75"/>
  <c r="B14" i="75"/>
  <c r="B16" i="75"/>
  <c r="H16" i="75"/>
  <c r="H22" i="75"/>
  <c r="H24" i="75"/>
  <c r="H15" i="75"/>
  <c r="H14" i="75"/>
  <c r="H21" i="75"/>
  <c r="H13" i="75"/>
  <c r="B15" i="75"/>
  <c r="H20" i="75"/>
  <c r="H12" i="75"/>
  <c r="H19" i="75"/>
  <c r="H11" i="75"/>
  <c r="H18" i="75"/>
  <c r="H10" i="75"/>
  <c r="H17" i="75"/>
  <c r="H9" i="75"/>
  <c r="B9" i="90"/>
  <c r="M18" i="74"/>
  <c r="E18" i="74"/>
  <c r="M11" i="74"/>
  <c r="B11" i="74"/>
  <c r="D13" i="88"/>
  <c r="C13" i="88"/>
  <c r="E16" i="88"/>
  <c r="H16" i="88"/>
  <c r="J14" i="88"/>
  <c r="J13" i="88"/>
  <c r="H15" i="88"/>
  <c r="D15" i="88"/>
  <c r="I19" i="88"/>
  <c r="H17" i="88"/>
  <c r="B19" i="88"/>
  <c r="D14" i="88"/>
  <c r="B11" i="75"/>
  <c r="D21" i="75"/>
  <c r="B18" i="75"/>
  <c r="E15" i="75"/>
  <c r="F11" i="75"/>
  <c r="I15" i="75"/>
  <c r="B12" i="75"/>
  <c r="M15" i="75"/>
  <c r="C13" i="75"/>
  <c r="B20" i="75"/>
  <c r="B13" i="75"/>
  <c r="G13" i="75"/>
  <c r="K13" i="75"/>
  <c r="D15" i="75"/>
  <c r="L21" i="75"/>
  <c r="D13" i="75"/>
  <c r="B19" i="75"/>
  <c r="E21" i="75"/>
  <c r="L15" i="75"/>
  <c r="L13" i="75"/>
  <c r="F19" i="75"/>
  <c r="I21" i="75"/>
  <c r="M21" i="75"/>
  <c r="E17" i="75"/>
  <c r="E9" i="75"/>
  <c r="C11" i="75"/>
  <c r="C18" i="75"/>
  <c r="C10" i="75"/>
  <c r="D12" i="75"/>
  <c r="E20" i="75"/>
  <c r="E14" i="75"/>
  <c r="F22" i="75"/>
  <c r="F16" i="75"/>
  <c r="G18" i="75"/>
  <c r="G10" i="75"/>
  <c r="I20" i="75"/>
  <c r="I14" i="75"/>
  <c r="J22" i="75"/>
  <c r="J16" i="75"/>
  <c r="K18" i="75"/>
  <c r="K10" i="75"/>
  <c r="L12" i="75"/>
  <c r="M20" i="75"/>
  <c r="M14" i="75"/>
  <c r="C24" i="75"/>
  <c r="C17" i="75"/>
  <c r="C9" i="75"/>
  <c r="D19" i="75"/>
  <c r="D11" i="75"/>
  <c r="E13" i="75"/>
  <c r="F21" i="75"/>
  <c r="F15" i="75"/>
  <c r="G24" i="75"/>
  <c r="G17" i="75"/>
  <c r="G9" i="75"/>
  <c r="I13" i="75"/>
  <c r="J21" i="75"/>
  <c r="J15" i="75"/>
  <c r="K24" i="75"/>
  <c r="K17" i="75"/>
  <c r="K9" i="75"/>
  <c r="L19" i="75"/>
  <c r="L11" i="75"/>
  <c r="M13" i="75"/>
  <c r="C22" i="75"/>
  <c r="C16" i="75"/>
  <c r="D18" i="75"/>
  <c r="D10" i="75"/>
  <c r="E12" i="75"/>
  <c r="F20" i="75"/>
  <c r="F14" i="75"/>
  <c r="G22" i="75"/>
  <c r="G16" i="75"/>
  <c r="I12" i="75"/>
  <c r="J20" i="75"/>
  <c r="J14" i="75"/>
  <c r="K22" i="75"/>
  <c r="K16" i="75"/>
  <c r="L18" i="75"/>
  <c r="L10" i="75"/>
  <c r="M12" i="75"/>
  <c r="B17" i="75"/>
  <c r="F24" i="75"/>
  <c r="F9" i="75"/>
  <c r="G19" i="75"/>
  <c r="G11" i="75"/>
  <c r="C21" i="75"/>
  <c r="C15" i="75"/>
  <c r="D24" i="75"/>
  <c r="D17" i="75"/>
  <c r="D9" i="75"/>
  <c r="E19" i="75"/>
  <c r="E11" i="75"/>
  <c r="F13" i="75"/>
  <c r="G21" i="75"/>
  <c r="G15" i="75"/>
  <c r="I19" i="75"/>
  <c r="I11" i="75"/>
  <c r="L24" i="75"/>
  <c r="L17" i="75"/>
  <c r="L9" i="75"/>
  <c r="M19" i="75"/>
  <c r="M11" i="75"/>
  <c r="B24" i="75"/>
  <c r="C19" i="75"/>
  <c r="F17" i="75"/>
  <c r="J24" i="75"/>
  <c r="J17" i="75"/>
  <c r="J9" i="75"/>
  <c r="K19" i="75"/>
  <c r="K11" i="75"/>
  <c r="C20" i="75"/>
  <c r="C14" i="75"/>
  <c r="D22" i="75"/>
  <c r="D16" i="75"/>
  <c r="E18" i="75"/>
  <c r="E10" i="75"/>
  <c r="F12" i="75"/>
  <c r="G20" i="75"/>
  <c r="G14" i="75"/>
  <c r="I18" i="75"/>
  <c r="I10" i="75"/>
  <c r="J12" i="75"/>
  <c r="K20" i="75"/>
  <c r="K14" i="75"/>
  <c r="L22" i="75"/>
  <c r="L16" i="75"/>
  <c r="M18" i="75"/>
  <c r="M10" i="75"/>
  <c r="E24" i="75"/>
  <c r="I24" i="75"/>
  <c r="I17" i="75"/>
  <c r="I9" i="75"/>
  <c r="M9" i="75"/>
  <c r="C12" i="75"/>
  <c r="D20" i="75"/>
  <c r="D14" i="75"/>
  <c r="E22" i="75"/>
  <c r="E16" i="75"/>
  <c r="F18" i="75"/>
  <c r="F10" i="75"/>
  <c r="G12" i="75"/>
  <c r="I22" i="75"/>
  <c r="I16" i="75"/>
  <c r="C10" i="90"/>
  <c r="F12" i="88"/>
  <c r="I14" i="88"/>
  <c r="C11" i="88"/>
  <c r="G14" i="88"/>
  <c r="I11" i="88"/>
  <c r="B14" i="88"/>
  <c r="B11" i="88"/>
  <c r="E19" i="88"/>
  <c r="H14" i="88"/>
  <c r="J11" i="88"/>
  <c r="C14" i="88"/>
  <c r="F14" i="88"/>
  <c r="B20" i="88"/>
  <c r="B10" i="88"/>
  <c r="C12" i="88"/>
  <c r="E17" i="88"/>
  <c r="E9" i="88"/>
  <c r="F11" i="88"/>
  <c r="G13" i="88"/>
  <c r="I20" i="88"/>
  <c r="I10" i="88"/>
  <c r="J12" i="88"/>
  <c r="F20" i="88"/>
  <c r="F10" i="88"/>
  <c r="G12" i="88"/>
  <c r="B17" i="88"/>
  <c r="C20" i="88"/>
  <c r="C10" i="88"/>
  <c r="D12" i="88"/>
  <c r="E15" i="88"/>
  <c r="F19" i="88"/>
  <c r="F9" i="88"/>
  <c r="G11" i="88"/>
  <c r="I17" i="88"/>
  <c r="J20" i="88"/>
  <c r="J10" i="88"/>
  <c r="B15" i="88"/>
  <c r="C19" i="88"/>
  <c r="C9" i="88"/>
  <c r="D11" i="88"/>
  <c r="F17" i="88"/>
  <c r="G20" i="88"/>
  <c r="G10" i="88"/>
  <c r="H13" i="88"/>
  <c r="I15" i="88"/>
  <c r="J19" i="88"/>
  <c r="J9" i="88"/>
  <c r="E10" i="88"/>
  <c r="C17" i="88"/>
  <c r="D20" i="88"/>
  <c r="D10" i="88"/>
  <c r="E13" i="88"/>
  <c r="F15" i="88"/>
  <c r="G19" i="88"/>
  <c r="G9" i="88"/>
  <c r="H12" i="88"/>
  <c r="J17" i="88"/>
  <c r="B13" i="88"/>
  <c r="C15" i="88"/>
  <c r="D19" i="88"/>
  <c r="E12" i="88"/>
  <c r="G17" i="88"/>
  <c r="H20" i="88"/>
  <c r="H11" i="88"/>
  <c r="I13" i="88"/>
  <c r="J15" i="88"/>
  <c r="B12" i="88"/>
  <c r="C16" i="88"/>
  <c r="F16" i="88"/>
  <c r="D16" i="88"/>
  <c r="I16" i="88"/>
  <c r="G16" i="88"/>
  <c r="B16" i="88"/>
  <c r="C18" i="88"/>
  <c r="G18" i="88"/>
  <c r="I18" i="88"/>
  <c r="E18" i="88"/>
  <c r="B18" i="88"/>
  <c r="D18" i="88"/>
  <c r="F18" i="88"/>
  <c r="H18" i="88"/>
  <c r="F21" i="88"/>
  <c r="H21" i="88"/>
  <c r="B21" i="88"/>
  <c r="J21" i="88"/>
  <c r="C21" i="88"/>
  <c r="E21" i="88"/>
  <c r="G21" i="88"/>
  <c r="D21" i="88"/>
  <c r="E20" i="90"/>
  <c r="G20" i="90"/>
  <c r="I20" i="90"/>
  <c r="J10" i="90"/>
  <c r="E10" i="90"/>
  <c r="B18" i="90"/>
  <c r="B22" i="90"/>
  <c r="B16" i="90"/>
  <c r="I11" i="90"/>
  <c r="B21" i="90"/>
  <c r="B15" i="90"/>
  <c r="D11" i="90"/>
  <c r="B20" i="90"/>
  <c r="B14" i="90"/>
  <c r="B13" i="90"/>
  <c r="B12" i="90"/>
  <c r="C11" i="90"/>
  <c r="F11" i="90"/>
  <c r="B19" i="90"/>
  <c r="B24" i="90"/>
  <c r="B17" i="90"/>
  <c r="D24" i="90"/>
  <c r="H22" i="90"/>
  <c r="F22" i="90"/>
  <c r="D22" i="90"/>
  <c r="G22" i="90"/>
  <c r="I22" i="90"/>
  <c r="E22" i="90"/>
  <c r="F21" i="90"/>
  <c r="E21" i="90"/>
  <c r="D21" i="90"/>
  <c r="I21" i="90"/>
  <c r="J20" i="90"/>
  <c r="D20" i="90"/>
  <c r="C20" i="90"/>
  <c r="F20" i="90"/>
  <c r="I19" i="90"/>
  <c r="E19" i="90"/>
  <c r="F19" i="90"/>
  <c r="C19" i="90"/>
  <c r="E17" i="90"/>
  <c r="F17" i="90"/>
  <c r="I16" i="90"/>
  <c r="E16" i="90"/>
  <c r="J15" i="90"/>
  <c r="I15" i="90"/>
  <c r="F15" i="90"/>
  <c r="E15" i="90"/>
  <c r="H14" i="90"/>
  <c r="D14" i="90"/>
  <c r="F14" i="90"/>
  <c r="E14" i="90"/>
  <c r="I14" i="90"/>
  <c r="C14" i="90"/>
  <c r="J14" i="90"/>
  <c r="I13" i="90"/>
  <c r="G13" i="90"/>
  <c r="D13" i="90"/>
  <c r="F13" i="90"/>
  <c r="E13" i="90"/>
  <c r="H13" i="90"/>
  <c r="C13" i="90"/>
  <c r="F12" i="90"/>
  <c r="E12" i="90"/>
  <c r="C12" i="90"/>
  <c r="I12" i="90"/>
  <c r="H12" i="90"/>
  <c r="G12" i="90"/>
  <c r="D12" i="90"/>
  <c r="E11" i="90"/>
  <c r="J22" i="90"/>
  <c r="E24" i="90"/>
  <c r="D16" i="90"/>
  <c r="G16" i="90"/>
  <c r="C16" i="90"/>
  <c r="I18" i="90"/>
  <c r="H16" i="90"/>
  <c r="E18" i="90"/>
  <c r="D18" i="90"/>
  <c r="H18" i="90"/>
  <c r="J18" i="90"/>
  <c r="J16" i="90"/>
  <c r="G18" i="90"/>
  <c r="C18" i="90"/>
  <c r="H10" i="90"/>
  <c r="I10" i="90"/>
  <c r="D10" i="90"/>
  <c r="F10" i="90"/>
  <c r="G10" i="90"/>
  <c r="G24" i="90"/>
  <c r="G17" i="90"/>
  <c r="C24" i="90"/>
  <c r="C17" i="90"/>
  <c r="H19" i="90"/>
  <c r="H11" i="90"/>
  <c r="G21" i="90"/>
  <c r="G15" i="90"/>
  <c r="C21" i="90"/>
  <c r="C15" i="90"/>
  <c r="H24" i="90"/>
  <c r="H17" i="90"/>
  <c r="J19" i="90"/>
  <c r="J11" i="90"/>
  <c r="I24" i="90"/>
  <c r="I17" i="90"/>
  <c r="H21" i="90"/>
  <c r="H15" i="90"/>
  <c r="J24" i="90"/>
  <c r="J17" i="90"/>
  <c r="G19" i="90"/>
  <c r="G11" i="90"/>
  <c r="G9" i="90"/>
  <c r="J9" i="90"/>
  <c r="I9" i="90"/>
  <c r="E9" i="90"/>
  <c r="C9" i="90"/>
  <c r="H9" i="90"/>
  <c r="D9" i="90"/>
  <c r="B10" i="74"/>
  <c r="B13" i="74"/>
  <c r="E13" i="74"/>
  <c r="G13" i="74"/>
  <c r="M43" i="74"/>
  <c r="I26" i="74"/>
  <c r="E11" i="74"/>
  <c r="G11" i="74"/>
  <c r="I10" i="74"/>
  <c r="D31" i="74"/>
  <c r="F31" i="74"/>
  <c r="H27" i="74"/>
  <c r="J42" i="74"/>
  <c r="D27" i="74"/>
  <c r="F27" i="74"/>
  <c r="C37" i="74"/>
  <c r="J13" i="74"/>
  <c r="B9" i="74"/>
  <c r="D9" i="74"/>
  <c r="F9" i="74"/>
  <c r="C35" i="74"/>
  <c r="J10" i="74"/>
  <c r="B43" i="74"/>
  <c r="E43" i="74"/>
  <c r="G43" i="74"/>
  <c r="C21" i="74"/>
  <c r="K19" i="74"/>
  <c r="B29" i="74"/>
  <c r="E29" i="74"/>
  <c r="G29" i="74"/>
  <c r="C19" i="74"/>
  <c r="K13" i="74"/>
  <c r="B27" i="74"/>
  <c r="E27" i="74"/>
  <c r="G27" i="74"/>
  <c r="I42" i="74"/>
  <c r="B42" i="74"/>
  <c r="B26" i="74"/>
  <c r="D25" i="74"/>
  <c r="E42" i="74"/>
  <c r="E26" i="74"/>
  <c r="E10" i="74"/>
  <c r="F25" i="74"/>
  <c r="G42" i="74"/>
  <c r="G26" i="74"/>
  <c r="G10" i="74"/>
  <c r="H19" i="74"/>
  <c r="C34" i="74"/>
  <c r="C18" i="74"/>
  <c r="I37" i="74"/>
  <c r="I21" i="74"/>
  <c r="J37" i="74"/>
  <c r="K43" i="74"/>
  <c r="K11" i="74"/>
  <c r="M35" i="74"/>
  <c r="I39" i="74"/>
  <c r="I23" i="74"/>
  <c r="M39" i="74"/>
  <c r="B39" i="74"/>
  <c r="B23" i="74"/>
  <c r="D43" i="74"/>
  <c r="D23" i="74"/>
  <c r="E39" i="74"/>
  <c r="E23" i="74"/>
  <c r="F43" i="74"/>
  <c r="F23" i="74"/>
  <c r="G39" i="74"/>
  <c r="G23" i="74"/>
  <c r="H43" i="74"/>
  <c r="H15" i="74"/>
  <c r="C31" i="74"/>
  <c r="C15" i="74"/>
  <c r="I35" i="74"/>
  <c r="I19" i="74"/>
  <c r="J34" i="74"/>
  <c r="K37" i="74"/>
  <c r="L43" i="74"/>
  <c r="M31" i="74"/>
  <c r="B37" i="74"/>
  <c r="B21" i="74"/>
  <c r="D41" i="74"/>
  <c r="D19" i="74"/>
  <c r="E37" i="74"/>
  <c r="E21" i="74"/>
  <c r="F41" i="74"/>
  <c r="F19" i="74"/>
  <c r="G37" i="74"/>
  <c r="G21" i="74"/>
  <c r="H41" i="74"/>
  <c r="H11" i="74"/>
  <c r="C29" i="74"/>
  <c r="C13" i="74"/>
  <c r="I34" i="74"/>
  <c r="I18" i="74"/>
  <c r="J29" i="74"/>
  <c r="K35" i="74"/>
  <c r="L35" i="74"/>
  <c r="M27" i="74"/>
  <c r="H23" i="74"/>
  <c r="B35" i="74"/>
  <c r="B19" i="74"/>
  <c r="D39" i="74"/>
  <c r="D17" i="74"/>
  <c r="E35" i="74"/>
  <c r="E19" i="74"/>
  <c r="F39" i="74"/>
  <c r="F17" i="74"/>
  <c r="G35" i="74"/>
  <c r="G19" i="74"/>
  <c r="H39" i="74"/>
  <c r="C43" i="74"/>
  <c r="C27" i="74"/>
  <c r="C11" i="74"/>
  <c r="I31" i="74"/>
  <c r="I15" i="74"/>
  <c r="J26" i="74"/>
  <c r="K29" i="74"/>
  <c r="L27" i="74"/>
  <c r="M23" i="74"/>
  <c r="B34" i="74"/>
  <c r="B18" i="74"/>
  <c r="D35" i="74"/>
  <c r="D15" i="74"/>
  <c r="E34" i="74"/>
  <c r="F35" i="74"/>
  <c r="F15" i="74"/>
  <c r="G34" i="74"/>
  <c r="G18" i="74"/>
  <c r="H35" i="74"/>
  <c r="C42" i="74"/>
  <c r="C26" i="74"/>
  <c r="C10" i="74"/>
  <c r="I29" i="74"/>
  <c r="I13" i="74"/>
  <c r="J21" i="74"/>
  <c r="K27" i="74"/>
  <c r="L19" i="74"/>
  <c r="M19" i="74"/>
  <c r="B31" i="74"/>
  <c r="B15" i="74"/>
  <c r="D33" i="74"/>
  <c r="D11" i="74"/>
  <c r="E31" i="74"/>
  <c r="E15" i="74"/>
  <c r="F33" i="74"/>
  <c r="F11" i="74"/>
  <c r="G31" i="74"/>
  <c r="G15" i="74"/>
  <c r="H31" i="74"/>
  <c r="C39" i="74"/>
  <c r="C23" i="74"/>
  <c r="I43" i="74"/>
  <c r="I27" i="74"/>
  <c r="I11" i="74"/>
  <c r="J18" i="74"/>
  <c r="K21" i="74"/>
  <c r="L11" i="74"/>
  <c r="M15" i="74"/>
  <c r="H33" i="74"/>
  <c r="H25" i="74"/>
  <c r="H17" i="74"/>
  <c r="H9" i="74"/>
  <c r="I9" i="74"/>
  <c r="J40" i="74"/>
  <c r="J32" i="74"/>
  <c r="J24" i="74"/>
  <c r="J16" i="74"/>
  <c r="L38" i="74"/>
  <c r="L30" i="74"/>
  <c r="L22" i="74"/>
  <c r="L14" i="74"/>
  <c r="M41" i="74"/>
  <c r="M33" i="74"/>
  <c r="M25" i="74"/>
  <c r="M17" i="74"/>
  <c r="B44" i="74"/>
  <c r="B36" i="74"/>
  <c r="B28" i="74"/>
  <c r="B20" i="74"/>
  <c r="B12" i="74"/>
  <c r="D40" i="74"/>
  <c r="D32" i="74"/>
  <c r="D24" i="74"/>
  <c r="D16" i="74"/>
  <c r="E44" i="74"/>
  <c r="E36" i="74"/>
  <c r="E28" i="74"/>
  <c r="E20" i="74"/>
  <c r="E12" i="74"/>
  <c r="F40" i="74"/>
  <c r="F32" i="74"/>
  <c r="F24" i="74"/>
  <c r="F16" i="74"/>
  <c r="G44" i="74"/>
  <c r="G36" i="74"/>
  <c r="G28" i="74"/>
  <c r="G20" i="74"/>
  <c r="G12" i="74"/>
  <c r="H40" i="74"/>
  <c r="H32" i="74"/>
  <c r="H24" i="74"/>
  <c r="H16" i="74"/>
  <c r="C44" i="74"/>
  <c r="C36" i="74"/>
  <c r="C28" i="74"/>
  <c r="C20" i="74"/>
  <c r="C12" i="74"/>
  <c r="I44" i="74"/>
  <c r="I36" i="74"/>
  <c r="I28" i="74"/>
  <c r="I20" i="74"/>
  <c r="I12" i="74"/>
  <c r="J39" i="74"/>
  <c r="J31" i="74"/>
  <c r="J23" i="74"/>
  <c r="J15" i="74"/>
  <c r="K42" i="74"/>
  <c r="K34" i="74"/>
  <c r="K26" i="74"/>
  <c r="K18" i="74"/>
  <c r="K10" i="74"/>
  <c r="L37" i="74"/>
  <c r="L29" i="74"/>
  <c r="L21" i="74"/>
  <c r="L13" i="74"/>
  <c r="M40" i="74"/>
  <c r="M32" i="74"/>
  <c r="M24" i="74"/>
  <c r="M16" i="74"/>
  <c r="J38" i="74"/>
  <c r="J30" i="74"/>
  <c r="J22" i="74"/>
  <c r="J14" i="74"/>
  <c r="K41" i="74"/>
  <c r="K33" i="74"/>
  <c r="K25" i="74"/>
  <c r="K17" i="74"/>
  <c r="L44" i="74"/>
  <c r="L36" i="74"/>
  <c r="L28" i="74"/>
  <c r="L20" i="74"/>
  <c r="L12" i="74"/>
  <c r="F38" i="74"/>
  <c r="F30" i="74"/>
  <c r="F22" i="74"/>
  <c r="F14" i="74"/>
  <c r="H38" i="74"/>
  <c r="H30" i="74"/>
  <c r="H22" i="74"/>
  <c r="H14" i="74"/>
  <c r="M38" i="74"/>
  <c r="M30" i="74"/>
  <c r="M22" i="74"/>
  <c r="B41" i="74"/>
  <c r="B33" i="74"/>
  <c r="B25" i="74"/>
  <c r="B17" i="74"/>
  <c r="C9" i="74"/>
  <c r="D37" i="74"/>
  <c r="D29" i="74"/>
  <c r="D21" i="74"/>
  <c r="D13" i="74"/>
  <c r="E41" i="74"/>
  <c r="E33" i="74"/>
  <c r="E25" i="74"/>
  <c r="E17" i="74"/>
  <c r="E9" i="74"/>
  <c r="F37" i="74"/>
  <c r="F29" i="74"/>
  <c r="F21" i="74"/>
  <c r="F13" i="74"/>
  <c r="G41" i="74"/>
  <c r="G33" i="74"/>
  <c r="G25" i="74"/>
  <c r="G17" i="74"/>
  <c r="G9" i="74"/>
  <c r="H37" i="74"/>
  <c r="H29" i="74"/>
  <c r="H21" i="74"/>
  <c r="H13" i="74"/>
  <c r="C41" i="74"/>
  <c r="C33" i="74"/>
  <c r="C25" i="74"/>
  <c r="C17" i="74"/>
  <c r="M9" i="74"/>
  <c r="I41" i="74"/>
  <c r="I33" i="74"/>
  <c r="I25" i="74"/>
  <c r="I17" i="74"/>
  <c r="J44" i="74"/>
  <c r="J36" i="74"/>
  <c r="J28" i="74"/>
  <c r="J20" i="74"/>
  <c r="J12" i="74"/>
  <c r="K39" i="74"/>
  <c r="K31" i="74"/>
  <c r="K23" i="74"/>
  <c r="K15" i="74"/>
  <c r="L42" i="74"/>
  <c r="L34" i="74"/>
  <c r="L26" i="74"/>
  <c r="L18" i="74"/>
  <c r="L10" i="74"/>
  <c r="D38" i="74"/>
  <c r="D30" i="74"/>
  <c r="D22" i="74"/>
  <c r="D14" i="74"/>
  <c r="K40" i="74"/>
  <c r="K32" i="74"/>
  <c r="K24" i="74"/>
  <c r="K16" i="74"/>
  <c r="M14" i="74"/>
  <c r="B40" i="74"/>
  <c r="B32" i="74"/>
  <c r="B24" i="74"/>
  <c r="B16" i="74"/>
  <c r="D44" i="74"/>
  <c r="D36" i="74"/>
  <c r="D28" i="74"/>
  <c r="D20" i="74"/>
  <c r="D12" i="74"/>
  <c r="E40" i="74"/>
  <c r="E32" i="74"/>
  <c r="E24" i="74"/>
  <c r="E16" i="74"/>
  <c r="F44" i="74"/>
  <c r="F36" i="74"/>
  <c r="F28" i="74"/>
  <c r="F20" i="74"/>
  <c r="F12" i="74"/>
  <c r="G40" i="74"/>
  <c r="G32" i="74"/>
  <c r="G24" i="74"/>
  <c r="G16" i="74"/>
  <c r="H44" i="74"/>
  <c r="H36" i="74"/>
  <c r="H28" i="74"/>
  <c r="H20" i="74"/>
  <c r="H12" i="74"/>
  <c r="C40" i="74"/>
  <c r="C32" i="74"/>
  <c r="C24" i="74"/>
  <c r="C16" i="74"/>
  <c r="L9" i="74"/>
  <c r="I40" i="74"/>
  <c r="I32" i="74"/>
  <c r="I24" i="74"/>
  <c r="I16" i="74"/>
  <c r="J11" i="74"/>
  <c r="K38" i="74"/>
  <c r="K30" i="74"/>
  <c r="K22" i="74"/>
  <c r="K14" i="74"/>
  <c r="L41" i="74"/>
  <c r="L33" i="74"/>
  <c r="L25" i="74"/>
  <c r="L17" i="74"/>
  <c r="M44" i="74"/>
  <c r="M36" i="74"/>
  <c r="M28" i="74"/>
  <c r="M20" i="74"/>
  <c r="M12" i="74"/>
  <c r="K9" i="74"/>
  <c r="B38" i="74"/>
  <c r="B30" i="74"/>
  <c r="B22" i="74"/>
  <c r="B14" i="74"/>
  <c r="D42" i="74"/>
  <c r="D34" i="74"/>
  <c r="D26" i="74"/>
  <c r="D18" i="74"/>
  <c r="D10" i="74"/>
  <c r="E38" i="74"/>
  <c r="E30" i="74"/>
  <c r="E22" i="74"/>
  <c r="E14" i="74"/>
  <c r="F42" i="74"/>
  <c r="F34" i="74"/>
  <c r="F26" i="74"/>
  <c r="F18" i="74"/>
  <c r="F10" i="74"/>
  <c r="G38" i="74"/>
  <c r="G30" i="74"/>
  <c r="G22" i="74"/>
  <c r="G14" i="74"/>
  <c r="H42" i="74"/>
  <c r="H34" i="74"/>
  <c r="H26" i="74"/>
  <c r="H18" i="74"/>
  <c r="H10" i="74"/>
  <c r="C38" i="74"/>
  <c r="C30" i="74"/>
  <c r="C22" i="74"/>
  <c r="C14" i="74"/>
  <c r="A43" i="89" l="1"/>
  <c r="A42" i="89"/>
  <c r="A44" i="89"/>
  <c r="A41" i="89"/>
  <c r="A40" i="89"/>
  <c r="A39" i="89"/>
  <c r="A38" i="89"/>
  <c r="A37" i="89"/>
  <c r="A36" i="89"/>
  <c r="A34" i="89"/>
  <c r="A33" i="89"/>
  <c r="A32" i="89"/>
  <c r="A31" i="89"/>
  <c r="A29" i="89"/>
  <c r="A28" i="89"/>
  <c r="A27" i="89"/>
  <c r="A26" i="89"/>
  <c r="A25" i="89"/>
  <c r="A24" i="89"/>
  <c r="A23" i="89"/>
  <c r="A21" i="89"/>
  <c r="A20" i="89"/>
  <c r="A19" i="89"/>
  <c r="A18" i="89"/>
  <c r="A16" i="89"/>
  <c r="A14" i="89"/>
  <c r="A13" i="89"/>
  <c r="A12" i="89"/>
  <c r="A11" i="89"/>
  <c r="A10" i="89"/>
  <c r="C19" i="89" l="1"/>
  <c r="D19" i="89"/>
  <c r="E19" i="89"/>
  <c r="F19" i="89"/>
  <c r="G19" i="89"/>
  <c r="H19" i="89"/>
  <c r="B19" i="89"/>
  <c r="I19" i="89"/>
  <c r="J19" i="89"/>
  <c r="D42" i="89"/>
  <c r="E42" i="89"/>
  <c r="F42" i="89"/>
  <c r="G42" i="89"/>
  <c r="H42" i="89"/>
  <c r="I42" i="89"/>
  <c r="C42" i="89"/>
  <c r="J42" i="89"/>
  <c r="B42" i="89"/>
  <c r="B28" i="89"/>
  <c r="J28" i="89"/>
  <c r="C28" i="89"/>
  <c r="D28" i="89"/>
  <c r="E28" i="89"/>
  <c r="F28" i="89"/>
  <c r="G28" i="89"/>
  <c r="H28" i="89"/>
  <c r="I28" i="89"/>
  <c r="C43" i="89"/>
  <c r="D43" i="89"/>
  <c r="E43" i="89"/>
  <c r="F43" i="89"/>
  <c r="G43" i="89"/>
  <c r="H43" i="89"/>
  <c r="I43" i="89"/>
  <c r="B43" i="89"/>
  <c r="J43" i="89"/>
  <c r="I13" i="89"/>
  <c r="B13" i="89"/>
  <c r="J13" i="89"/>
  <c r="C13" i="89"/>
  <c r="D13" i="89"/>
  <c r="E13" i="89"/>
  <c r="F13" i="89"/>
  <c r="G13" i="89"/>
  <c r="H13" i="89"/>
  <c r="I21" i="89"/>
  <c r="B21" i="89"/>
  <c r="J21" i="89"/>
  <c r="C21" i="89"/>
  <c r="D21" i="89"/>
  <c r="E21" i="89"/>
  <c r="F21" i="89"/>
  <c r="G21" i="89"/>
  <c r="H21" i="89"/>
  <c r="I29" i="89"/>
  <c r="B29" i="89"/>
  <c r="J29" i="89"/>
  <c r="C29" i="89"/>
  <c r="D29" i="89"/>
  <c r="E29" i="89"/>
  <c r="F29" i="89"/>
  <c r="G29" i="89"/>
  <c r="H29" i="89"/>
  <c r="I37" i="89"/>
  <c r="B37" i="89"/>
  <c r="J37" i="89"/>
  <c r="C37" i="89"/>
  <c r="D37" i="89"/>
  <c r="E37" i="89"/>
  <c r="F37" i="89"/>
  <c r="G37" i="89"/>
  <c r="H37" i="89"/>
  <c r="H14" i="89"/>
  <c r="I14" i="89"/>
  <c r="B14" i="89"/>
  <c r="J14" i="89"/>
  <c r="C14" i="89"/>
  <c r="F14" i="89"/>
  <c r="D14" i="89"/>
  <c r="E14" i="89"/>
  <c r="G14" i="89"/>
  <c r="H22" i="89"/>
  <c r="I22" i="89"/>
  <c r="B22" i="89"/>
  <c r="J22" i="89"/>
  <c r="C22" i="89"/>
  <c r="D22" i="89"/>
  <c r="E22" i="89"/>
  <c r="F22" i="89"/>
  <c r="G22" i="89"/>
  <c r="H30" i="89"/>
  <c r="I30" i="89"/>
  <c r="B30" i="89"/>
  <c r="J30" i="89"/>
  <c r="C30" i="89"/>
  <c r="D30" i="89"/>
  <c r="E30" i="89"/>
  <c r="F30" i="89"/>
  <c r="G30" i="89"/>
  <c r="H38" i="89"/>
  <c r="I38" i="89"/>
  <c r="B38" i="89"/>
  <c r="J38" i="89"/>
  <c r="C38" i="89"/>
  <c r="D38" i="89"/>
  <c r="E38" i="89"/>
  <c r="G38" i="89"/>
  <c r="F38" i="89"/>
  <c r="C35" i="89"/>
  <c r="D35" i="89"/>
  <c r="E35" i="89"/>
  <c r="F35" i="89"/>
  <c r="G35" i="89"/>
  <c r="H35" i="89"/>
  <c r="B35" i="89"/>
  <c r="I35" i="89"/>
  <c r="J35" i="89"/>
  <c r="B20" i="89"/>
  <c r="J20" i="89"/>
  <c r="C20" i="89"/>
  <c r="D20" i="89"/>
  <c r="E20" i="89"/>
  <c r="F20" i="89"/>
  <c r="G20" i="89"/>
  <c r="I20" i="89"/>
  <c r="H20" i="89"/>
  <c r="B36" i="89"/>
  <c r="J36" i="89"/>
  <c r="C36" i="89"/>
  <c r="D36" i="89"/>
  <c r="E36" i="89"/>
  <c r="F36" i="89"/>
  <c r="G36" i="89"/>
  <c r="H36" i="89"/>
  <c r="I36" i="89"/>
  <c r="G15" i="89"/>
  <c r="H15" i="89"/>
  <c r="I15" i="89"/>
  <c r="B15" i="89"/>
  <c r="J15" i="89"/>
  <c r="C15" i="89"/>
  <c r="D15" i="89"/>
  <c r="E15" i="89"/>
  <c r="F15" i="89"/>
  <c r="G23" i="89"/>
  <c r="H23" i="89"/>
  <c r="I23" i="89"/>
  <c r="B23" i="89"/>
  <c r="J23" i="89"/>
  <c r="C23" i="89"/>
  <c r="D23" i="89"/>
  <c r="E23" i="89"/>
  <c r="F23" i="89"/>
  <c r="G31" i="89"/>
  <c r="H31" i="89"/>
  <c r="I31" i="89"/>
  <c r="B31" i="89"/>
  <c r="J31" i="89"/>
  <c r="C31" i="89"/>
  <c r="D31" i="89"/>
  <c r="F31" i="89"/>
  <c r="E31" i="89"/>
  <c r="G39" i="89"/>
  <c r="H39" i="89"/>
  <c r="I39" i="89"/>
  <c r="B39" i="89"/>
  <c r="J39" i="89"/>
  <c r="C39" i="89"/>
  <c r="D39" i="89"/>
  <c r="E39" i="89"/>
  <c r="F39" i="89"/>
  <c r="F16" i="89"/>
  <c r="G16" i="89"/>
  <c r="H16" i="89"/>
  <c r="I16" i="89"/>
  <c r="D16" i="89"/>
  <c r="B16" i="89"/>
  <c r="J16" i="89"/>
  <c r="C16" i="89"/>
  <c r="E16" i="89"/>
  <c r="F24" i="89"/>
  <c r="G24" i="89"/>
  <c r="H24" i="89"/>
  <c r="I24" i="89"/>
  <c r="B24" i="89"/>
  <c r="J24" i="89"/>
  <c r="C24" i="89"/>
  <c r="E24" i="89"/>
  <c r="D24" i="89"/>
  <c r="F32" i="89"/>
  <c r="G32" i="89"/>
  <c r="H32" i="89"/>
  <c r="I32" i="89"/>
  <c r="B32" i="89"/>
  <c r="J32" i="89"/>
  <c r="C32" i="89"/>
  <c r="D32" i="89"/>
  <c r="E32" i="89"/>
  <c r="F40" i="89"/>
  <c r="G40" i="89"/>
  <c r="H40" i="89"/>
  <c r="I40" i="89"/>
  <c r="B40" i="89"/>
  <c r="J40" i="89"/>
  <c r="C40" i="89"/>
  <c r="D40" i="89"/>
  <c r="E40" i="89"/>
  <c r="C11" i="89"/>
  <c r="D11" i="89"/>
  <c r="E11" i="89"/>
  <c r="F11" i="89"/>
  <c r="G11" i="89"/>
  <c r="H11" i="89"/>
  <c r="I11" i="89"/>
  <c r="J11" i="89"/>
  <c r="B11" i="89"/>
  <c r="C27" i="89"/>
  <c r="D27" i="89"/>
  <c r="E27" i="89"/>
  <c r="F27" i="89"/>
  <c r="G27" i="89"/>
  <c r="H27" i="89"/>
  <c r="J27" i="89"/>
  <c r="B27" i="89"/>
  <c r="I27" i="89"/>
  <c r="B12" i="89"/>
  <c r="J12" i="89"/>
  <c r="C12" i="89"/>
  <c r="D12" i="89"/>
  <c r="E12" i="89"/>
  <c r="F12" i="89"/>
  <c r="G12" i="89"/>
  <c r="H12" i="89"/>
  <c r="I12" i="89"/>
  <c r="C9" i="89"/>
  <c r="I9" i="89"/>
  <c r="H9" i="89"/>
  <c r="G9" i="89"/>
  <c r="F9" i="89"/>
  <c r="J9" i="89"/>
  <c r="E9" i="89"/>
  <c r="D9" i="89"/>
  <c r="B9" i="89"/>
  <c r="E17" i="89"/>
  <c r="F17" i="89"/>
  <c r="G17" i="89"/>
  <c r="H17" i="89"/>
  <c r="I17" i="89"/>
  <c r="B17" i="89"/>
  <c r="J17" i="89"/>
  <c r="D17" i="89"/>
  <c r="C17" i="89"/>
  <c r="E25" i="89"/>
  <c r="F25" i="89"/>
  <c r="G25" i="89"/>
  <c r="H25" i="89"/>
  <c r="I25" i="89"/>
  <c r="B25" i="89"/>
  <c r="J25" i="89"/>
  <c r="C25" i="89"/>
  <c r="D25" i="89"/>
  <c r="E33" i="89"/>
  <c r="F33" i="89"/>
  <c r="G33" i="89"/>
  <c r="H33" i="89"/>
  <c r="I33" i="89"/>
  <c r="B33" i="89"/>
  <c r="J33" i="89"/>
  <c r="C33" i="89"/>
  <c r="D33" i="89"/>
  <c r="E41" i="89"/>
  <c r="F41" i="89"/>
  <c r="G41" i="89"/>
  <c r="H41" i="89"/>
  <c r="I41" i="89"/>
  <c r="B41" i="89"/>
  <c r="J41" i="89"/>
  <c r="D41" i="89"/>
  <c r="C41" i="89"/>
  <c r="D10" i="89"/>
  <c r="E10" i="89"/>
  <c r="F10" i="89"/>
  <c r="G10" i="89"/>
  <c r="H10" i="89"/>
  <c r="I10" i="89"/>
  <c r="B10" i="89"/>
  <c r="J10" i="89"/>
  <c r="C10" i="89"/>
  <c r="D18" i="89"/>
  <c r="E18" i="89"/>
  <c r="F18" i="89"/>
  <c r="G18" i="89"/>
  <c r="H18" i="89"/>
  <c r="I18" i="89"/>
  <c r="B18" i="89"/>
  <c r="C18" i="89"/>
  <c r="J18" i="89"/>
  <c r="D26" i="89"/>
  <c r="E26" i="89"/>
  <c r="F26" i="89"/>
  <c r="G26" i="89"/>
  <c r="H26" i="89"/>
  <c r="I26" i="89"/>
  <c r="B26" i="89"/>
  <c r="J26" i="89"/>
  <c r="C26" i="89"/>
  <c r="D34" i="89"/>
  <c r="E34" i="89"/>
  <c r="F34" i="89"/>
  <c r="G34" i="89"/>
  <c r="H34" i="89"/>
  <c r="I34" i="89"/>
  <c r="B34" i="89"/>
  <c r="C34" i="89"/>
  <c r="J34" i="89"/>
  <c r="B44" i="89"/>
  <c r="J44" i="89"/>
  <c r="D44" i="89"/>
  <c r="E44" i="89"/>
  <c r="F44" i="89"/>
  <c r="G44" i="89"/>
  <c r="C44" i="89"/>
  <c r="H44" i="89"/>
  <c r="I44" i="89"/>
</calcChain>
</file>

<file path=xl/connections.xml><?xml version="1.0" encoding="utf-8"?>
<connections xmlns="http://schemas.openxmlformats.org/spreadsheetml/2006/main">
  <connection id="1" keepAlive="1" name="Query - Table245 (3)" description="Connection to the 'Table245 (3)' query in the workbook." type="5" refreshedVersion="6" background="1" saveData="1">
    <dbPr connection="Provider=Microsoft.Mashup.OleDb.1;Data Source=$Workbook$;Location=&quot;Table245 (3)&quot;;Extended Properties=&quot;&quot;" command="SELECT * FROM [Table245 (3)]"/>
  </connection>
  <connection id="2" keepAlive="1" name="Query - Table245 (4)" description="Connection to the 'Table245 (4)' query in the workbook." type="5" refreshedVersion="6" background="1" saveData="1">
    <dbPr connection="Provider=Microsoft.Mashup.OleDb.1;Data Source=$Workbook$;Location=&quot;Table245 (4)&quot;;Extended Properties=&quot;&quot;" command="SELECT * FROM [Table245 (4)]"/>
  </connection>
  <connection id="3" keepAlive="1" name="Query - Table245 (4)(1)" description="Connection to the 'Table245 (4)' query in the workbook." type="5" refreshedVersion="6" background="1" saveData="1">
    <dbPr connection="Provider=Microsoft.Mashup.OleDb.1;Data Source=$Workbook$;Location=&quot;Table245 (4)&quot;;Extended Properties=&quot;&quot;" command="SELECT * FROM [Table245 (4)]"/>
  </connection>
</connections>
</file>

<file path=xl/sharedStrings.xml><?xml version="1.0" encoding="utf-8"?>
<sst xmlns="http://schemas.openxmlformats.org/spreadsheetml/2006/main" count="1763" uniqueCount="800">
  <si>
    <t>Table 1</t>
  </si>
  <si>
    <t>Table 2</t>
  </si>
  <si>
    <t>Table 3</t>
  </si>
  <si>
    <t>Table 4</t>
  </si>
  <si>
    <t>Table 5</t>
  </si>
  <si>
    <t>Table 6</t>
  </si>
  <si>
    <t>Total</t>
  </si>
  <si>
    <t>See the data quality section of the publication for further information about how postcodes are matched to local authorities and country.</t>
  </si>
  <si>
    <t>Figures are rounded for disclosure control and may not sum due to rounding.</t>
  </si>
  <si>
    <t>See the data quality section of the publication for further information about how postcodes are matched to health boards and country.</t>
  </si>
  <si>
    <t>Table 9</t>
  </si>
  <si>
    <t>Table 8</t>
  </si>
  <si>
    <t>Table 10</t>
  </si>
  <si>
    <t>Month</t>
  </si>
  <si>
    <t>Chart 1</t>
  </si>
  <si>
    <t>Chart 2</t>
  </si>
  <si>
    <t>Chart 3</t>
  </si>
  <si>
    <t>Table 11</t>
  </si>
  <si>
    <t>Table 7</t>
  </si>
  <si>
    <t>Chart 1: Applications for Best Start Grant and Best Start Food by month</t>
  </si>
  <si>
    <t>Applications for Best Start Grant Pregnancy and Baby Payment by first and subsequent births</t>
  </si>
  <si>
    <t>Table 1: Applications for Best Start Grant and Best Start Foods by month</t>
  </si>
  <si>
    <t>% of total applications processed</t>
  </si>
  <si>
    <t>Table 3: Applications for Best Start Grant and Best Start Foods by channel</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</si>
  <si>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</si>
  <si>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</si>
  <si>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</si>
  <si>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</si>
  <si>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Applications for Best Start Grant and Best Start Foods by local authority</t>
  </si>
  <si>
    <t>Applications for Best Start Grant and Best Start Foods by health board</t>
  </si>
  <si>
    <t>Processing times for Best Start Grant and Best Start Foods by decision month</t>
  </si>
  <si>
    <t>Best Start Grant and Best Start Foods payments by local authority</t>
  </si>
  <si>
    <t>Payments by Best Start Grant and Best Start Foods payment type and month</t>
  </si>
  <si>
    <t>Table 4: Applications for Best Start Grant and Best Start Foods by age group</t>
  </si>
  <si>
    <t>Table 5: Applications for Best Start Grant and Best Start Foods by local authority</t>
  </si>
  <si>
    <t>Chart 3: Payments by Best Start Grant and Best Start Foods payment type and month</t>
  </si>
  <si>
    <t>Chart 2: Applications by Best Start Grant and Best Start Foods payment type</t>
  </si>
  <si>
    <t>Table 7: Applications for Best Start Grant and Best Start Foods by health board</t>
  </si>
  <si>
    <t>Table 10: Processing times for Best Start Grant and Best Start Food by decision month</t>
  </si>
  <si>
    <t>Table 12: Payments by Best Start Grant and Best Start Foods payment type and month</t>
  </si>
  <si>
    <t>Table 12</t>
  </si>
  <si>
    <t>Table 14</t>
  </si>
  <si>
    <t>Best Start Foods reviews management information</t>
  </si>
  <si>
    <t>Applications received and benefit components applied for, by local authority</t>
  </si>
  <si>
    <t>Applications received and benefit components applied for, by health board</t>
  </si>
  <si>
    <t>Table 6: Applications received and benefit components applied for, by local authority</t>
  </si>
  <si>
    <t>Table 8: Applications received and benefit components applied for, by health board</t>
  </si>
  <si>
    <t>% of processed applications authorised</t>
  </si>
  <si>
    <t>% of processed applications denied</t>
  </si>
  <si>
    <t xml:space="preserve">% of processed applications withdrawn </t>
  </si>
  <si>
    <t xml:space="preserve">% of total applications received </t>
  </si>
  <si>
    <t xml:space="preserve">Total applications received 
</t>
  </si>
  <si>
    <t>Authorised applications [note 7]</t>
  </si>
  <si>
    <t>Denied Applications [note 8]</t>
  </si>
  <si>
    <t>Withdrawn applications [note 9]</t>
  </si>
  <si>
    <t xml:space="preserve">Table 2: Applications by Best Start Grant and Best Start Foods payment type </t>
  </si>
  <si>
    <t xml:space="preserve">Online Applications </t>
  </si>
  <si>
    <t>To view the full data  behind this table please see the worksheet entitled Table 2 - Full data.</t>
  </si>
  <si>
    <t>To view the full data  behind this table please see the worksheet entitled Table 4 - Full data.</t>
  </si>
  <si>
    <t>Applicant Age Group</t>
  </si>
  <si>
    <t xml:space="preserve">Total applications processed </t>
  </si>
  <si>
    <t>Local Authority</t>
  </si>
  <si>
    <t>Total applications received 
[note 4]</t>
  </si>
  <si>
    <t>Authorised applications [note 5]</t>
  </si>
  <si>
    <t>[c] Figures suppressed for disclosure control</t>
  </si>
  <si>
    <t>[note 2]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refect a Scottish postcode at the time of application.</t>
  </si>
  <si>
    <t>[note 3] Some applications did not have a postcode and therefore cannot be matched to local authority or country.</t>
  </si>
  <si>
    <t>To view the full data  behind this table please see the worksheet entitled Table 7 - Full data.</t>
  </si>
  <si>
    <t>To view the full data  behind this table please see the worksheet entitled Table 8 - Full data.</t>
  </si>
  <si>
    <t>To view the full data  behind this table please see the worksheet entitled Table 9 - Full data.</t>
  </si>
  <si>
    <t>Total applications processed</t>
  </si>
  <si>
    <t>Withdrawn applications</t>
  </si>
  <si>
    <t>Local Authority by Financial Year</t>
  </si>
  <si>
    <t>Aberdeen City 2018_2019</t>
  </si>
  <si>
    <t>Aberdeen City 2019_2020</t>
  </si>
  <si>
    <t>Aberdeen City 2020_2021</t>
  </si>
  <si>
    <t>Aberdeen City 2021_2022</t>
  </si>
  <si>
    <t>Aberdeenshire 2018_2019</t>
  </si>
  <si>
    <t>Aberdeenshire 2019_2020</t>
  </si>
  <si>
    <t>Aberdeenshire 2020_2021</t>
  </si>
  <si>
    <t>Aberdeenshire 2021_2022</t>
  </si>
  <si>
    <t>Angus 2018_2019</t>
  </si>
  <si>
    <t>Angus 2019_2020</t>
  </si>
  <si>
    <t>Angus 2020_2021</t>
  </si>
  <si>
    <t>Angus 2021_2022</t>
  </si>
  <si>
    <t>Argyll &amp; Bute 2018_2019</t>
  </si>
  <si>
    <t>Argyll &amp; Bute 2019_2020</t>
  </si>
  <si>
    <t>Argyll &amp; Bute 2020_2021</t>
  </si>
  <si>
    <t>Argyll &amp; Bute 2021_2022</t>
  </si>
  <si>
    <t>Clackmannanshire 2018_2019</t>
  </si>
  <si>
    <t>Clackmannanshire 2019_2020</t>
  </si>
  <si>
    <t>Clackmannanshire 2020_2021</t>
  </si>
  <si>
    <t>Clackmannanshire 2021_2022</t>
  </si>
  <si>
    <t>Dumfries &amp; Galloway 2018_2019</t>
  </si>
  <si>
    <t>Dumfries &amp; Galloway 2019_2020</t>
  </si>
  <si>
    <t>Dumfries &amp; Galloway 2020_2021</t>
  </si>
  <si>
    <t>Dumfries &amp; Galloway 2021_2022</t>
  </si>
  <si>
    <t>Dundee City 2018_2019</t>
  </si>
  <si>
    <t>Dundee City 2019_2020</t>
  </si>
  <si>
    <t>Dundee City 2020_2021</t>
  </si>
  <si>
    <t>Dundee City 2021_2022</t>
  </si>
  <si>
    <t>East Ayrshire 2018_2019</t>
  </si>
  <si>
    <t>East Ayrshire 2019_2020</t>
  </si>
  <si>
    <t>East Ayrshire 2020_2021</t>
  </si>
  <si>
    <t>East Ayrshire 2021_2022</t>
  </si>
  <si>
    <t>East Dunbartonshire 2018_2019</t>
  </si>
  <si>
    <t>East Dunbartonshire 2019_2020</t>
  </si>
  <si>
    <t>East Dunbartonshire 2020_2021</t>
  </si>
  <si>
    <t>East Dunbartonshire 2021_2022</t>
  </si>
  <si>
    <t>East Lothian 2018_2019</t>
  </si>
  <si>
    <t>East Lothian 2019_2020</t>
  </si>
  <si>
    <t>East Lothian 2020_2021</t>
  </si>
  <si>
    <t>East Lothian 2021_2022</t>
  </si>
  <si>
    <t>East Renfrewshire 2018_2019</t>
  </si>
  <si>
    <t>East Renfrewshire 2019_2020</t>
  </si>
  <si>
    <t>East Renfrewshire 2020_2021</t>
  </si>
  <si>
    <t>East Renfrewshire 2021_2022</t>
  </si>
  <si>
    <t>Edinburgh, City of 2018_2019</t>
  </si>
  <si>
    <t>Edinburgh, City of 2019_2020</t>
  </si>
  <si>
    <t>Edinburgh, City of 2020_2021</t>
  </si>
  <si>
    <t>Edinburgh, City of 2021_2022</t>
  </si>
  <si>
    <t>Falkirk 2018_2019</t>
  </si>
  <si>
    <t>Falkirk 2019_2020</t>
  </si>
  <si>
    <t>Falkirk 2020_2021</t>
  </si>
  <si>
    <t>Falkirk 2021_2022</t>
  </si>
  <si>
    <t>Fife 2018_2019</t>
  </si>
  <si>
    <t>Fife 2019_2020</t>
  </si>
  <si>
    <t>Fife 2020_2021</t>
  </si>
  <si>
    <t>Fife 2021_2022</t>
  </si>
  <si>
    <t>Glasgow City 2018_2019</t>
  </si>
  <si>
    <t>Glasgow City 2019_2020</t>
  </si>
  <si>
    <t>Glasgow City 2020_2021</t>
  </si>
  <si>
    <t>Glasgow City 2021_2022</t>
  </si>
  <si>
    <t>Highland 2018_2019</t>
  </si>
  <si>
    <t>Highland 2019_2020</t>
  </si>
  <si>
    <t>Highland 2020_2021</t>
  </si>
  <si>
    <t>Highland 2021_2022</t>
  </si>
  <si>
    <t>Inverclyde 2018_2019</t>
  </si>
  <si>
    <t>Inverclyde 2019_2020</t>
  </si>
  <si>
    <t>Inverclyde 2020_2021</t>
  </si>
  <si>
    <t>Inverclyde 2021_2022</t>
  </si>
  <si>
    <t>Midlothian 2018_2019</t>
  </si>
  <si>
    <t>Midlothian 2019_2020</t>
  </si>
  <si>
    <t>Midlothian 2020_2021</t>
  </si>
  <si>
    <t>Midlothian 2021_2022</t>
  </si>
  <si>
    <t>Moray 2018_2019</t>
  </si>
  <si>
    <t>Moray 2019_2020</t>
  </si>
  <si>
    <t>Moray 2020_2021</t>
  </si>
  <si>
    <t>Moray 2021_2022</t>
  </si>
  <si>
    <t>Na h-Eileanan Siar 2018_2019</t>
  </si>
  <si>
    <t>Na h-Eileanan Siar 2019_2020</t>
  </si>
  <si>
    <t>Na h-Eileanan Siar 2020_2021</t>
  </si>
  <si>
    <t>Na h-Eileanan Siar 2021_2022</t>
  </si>
  <si>
    <t>No address 2018_2019</t>
  </si>
  <si>
    <t>No address 2019_2020</t>
  </si>
  <si>
    <t>No address 2020_2021</t>
  </si>
  <si>
    <t>No address 2021_2022</t>
  </si>
  <si>
    <t>North Ayrshire 2018_2019</t>
  </si>
  <si>
    <t>North Ayrshire 2019_2020</t>
  </si>
  <si>
    <t>North Ayrshire 2020_2021</t>
  </si>
  <si>
    <t>North Ayrshire 2021_2022</t>
  </si>
  <si>
    <t>North Lanarkshire 2018_2019</t>
  </si>
  <si>
    <t>North Lanarkshire 2019_2020</t>
  </si>
  <si>
    <t>North Lanarkshire 2020_2021</t>
  </si>
  <si>
    <t>North Lanarkshire 2021_2022</t>
  </si>
  <si>
    <t>Orkney Islands 2018_2019</t>
  </si>
  <si>
    <t>Orkney Islands 2019_2020</t>
  </si>
  <si>
    <t>Orkney Islands 2020_2021</t>
  </si>
  <si>
    <t>Orkney Islands 2021_2022</t>
  </si>
  <si>
    <t>Perth &amp; Kinross 2018_2019</t>
  </si>
  <si>
    <t>Perth &amp; Kinross 2019_2020</t>
  </si>
  <si>
    <t>Perth &amp; Kinross 2020_2021</t>
  </si>
  <si>
    <t>Perth &amp; Kinross 2021_2022</t>
  </si>
  <si>
    <t>Renfrewshire 2018_2019</t>
  </si>
  <si>
    <t>Renfrewshire 2019_2020</t>
  </si>
  <si>
    <t>Renfrewshire 2020_2021</t>
  </si>
  <si>
    <t>Renfrewshire 2021_2022</t>
  </si>
  <si>
    <t>Scottish Borders 2018_2019</t>
  </si>
  <si>
    <t>Scottish Borders 2019_2020</t>
  </si>
  <si>
    <t>Scottish Borders 2020_2021</t>
  </si>
  <si>
    <t>Scottish Borders 2021_2022</t>
  </si>
  <si>
    <t>Shetland Islands 2018_2019</t>
  </si>
  <si>
    <t>Shetland Islands 2019_2020</t>
  </si>
  <si>
    <t>Shetland Islands 2020_2021</t>
  </si>
  <si>
    <t>Shetland Islands 2021_2022</t>
  </si>
  <si>
    <t>South Ayrshire 2018_2019</t>
  </si>
  <si>
    <t>South Ayrshire 2019_2020</t>
  </si>
  <si>
    <t>South Ayrshire 2020_2021</t>
  </si>
  <si>
    <t>South Ayrshire 2021_2022</t>
  </si>
  <si>
    <t>South Lanarkshire 2018_2019</t>
  </si>
  <si>
    <t>South Lanarkshire 2019_2020</t>
  </si>
  <si>
    <t>South Lanarkshire 2020_2021</t>
  </si>
  <si>
    <t>South Lanarkshire 2021_2022</t>
  </si>
  <si>
    <t>Stirling 2018_2019</t>
  </si>
  <si>
    <t>Stirling 2019_2020</t>
  </si>
  <si>
    <t>Stirling 2020_2021</t>
  </si>
  <si>
    <t>Stirling 2021_2022</t>
  </si>
  <si>
    <t>Total 2018_2019</t>
  </si>
  <si>
    <t>Total 2019_2020</t>
  </si>
  <si>
    <t>Total 2020_2021</t>
  </si>
  <si>
    <t>Total 2021_2022</t>
  </si>
  <si>
    <t>West Dunbartonshire 2018_2019</t>
  </si>
  <si>
    <t>West Dunbartonshire 2019_2020</t>
  </si>
  <si>
    <t>West Dunbartonshire 2020_2021</t>
  </si>
  <si>
    <t>West Dunbartonshire 2021_2022</t>
  </si>
  <si>
    <t>West Lothian 2018_2019</t>
  </si>
  <si>
    <t>West Lothian 2019_2020</t>
  </si>
  <si>
    <t>West Lothian 2020_2021</t>
  </si>
  <si>
    <t>West Lothian 2021_2022</t>
  </si>
  <si>
    <t>2018_2019</t>
  </si>
  <si>
    <t>2019_2020</t>
  </si>
  <si>
    <t>2020_2021</t>
  </si>
  <si>
    <t>2021_2022</t>
  </si>
  <si>
    <t>Financial Years</t>
  </si>
  <si>
    <t>Unknown - Scottish address 2018_2019</t>
  </si>
  <si>
    <t>Unknown - Scottish address 2019_2020</t>
  </si>
  <si>
    <t>Unknown - Scottish address 2020_2021</t>
  </si>
  <si>
    <t>Unknown - Scottish address 2021_2022</t>
  </si>
  <si>
    <t>Non-Scottish postcode 2018_2019</t>
  </si>
  <si>
    <t>Non-Scottish postcode 2019_2020</t>
  </si>
  <si>
    <t>Non-Scottish postcode 2020_2021</t>
  </si>
  <si>
    <t>Non-Scottish postcode 2021_2022</t>
  </si>
  <si>
    <t>All time</t>
  </si>
  <si>
    <t>Aberdeen City All time</t>
  </si>
  <si>
    <t>Aberdeenshire All time</t>
  </si>
  <si>
    <t>Angus All time</t>
  </si>
  <si>
    <t>Argyll &amp; Bute All time</t>
  </si>
  <si>
    <t>Clackmannanshire All time</t>
  </si>
  <si>
    <t>Dumfries &amp; Galloway All time</t>
  </si>
  <si>
    <t>Dundee City All time</t>
  </si>
  <si>
    <t>East Ayrshire All time</t>
  </si>
  <si>
    <t>East Dunbartonshire All time</t>
  </si>
  <si>
    <t>East Lothian All time</t>
  </si>
  <si>
    <t>East Renfrewshire All time</t>
  </si>
  <si>
    <t>Edinburgh, City of All time</t>
  </si>
  <si>
    <t>Falkirk All time</t>
  </si>
  <si>
    <t>Fife All time</t>
  </si>
  <si>
    <t>Glasgow City All time</t>
  </si>
  <si>
    <t>Highland All time</t>
  </si>
  <si>
    <t>Inverclyde All time</t>
  </si>
  <si>
    <t>Midlothian All time</t>
  </si>
  <si>
    <t>Moray All time</t>
  </si>
  <si>
    <t>Na h-Eileanan Siar All time</t>
  </si>
  <si>
    <t>No address All time</t>
  </si>
  <si>
    <t>North Ayrshire All time</t>
  </si>
  <si>
    <t>North Lanarkshire All time</t>
  </si>
  <si>
    <t>Orkney Islands All time</t>
  </si>
  <si>
    <t>Perth &amp; Kinross All time</t>
  </si>
  <si>
    <t>Renfrewshire All time</t>
  </si>
  <si>
    <t>Scottish Borders All time</t>
  </si>
  <si>
    <t>Shetland Islands All time</t>
  </si>
  <si>
    <t>South Ayrshire All time</t>
  </si>
  <si>
    <t>South Lanarkshire All time</t>
  </si>
  <si>
    <t>Stirling All time</t>
  </si>
  <si>
    <t>Total All time</t>
  </si>
  <si>
    <t>West Dunbartonshire All time</t>
  </si>
  <si>
    <t>West Lothian All time</t>
  </si>
  <si>
    <t>Non-Scottish postcode All time</t>
  </si>
  <si>
    <t>Unknown - Scottish address All time</t>
  </si>
  <si>
    <t>December 2018</t>
  </si>
  <si>
    <t>January 2019</t>
  </si>
  <si>
    <t>February 2019</t>
  </si>
  <si>
    <t>February 2020</t>
  </si>
  <si>
    <t>February 2021</t>
  </si>
  <si>
    <t>March 2019</t>
  </si>
  <si>
    <t>April 2019</t>
  </si>
  <si>
    <t>May 2019</t>
  </si>
  <si>
    <t>June 2019</t>
  </si>
  <si>
    <t>July 2019</t>
  </si>
  <si>
    <t>August 2019</t>
  </si>
  <si>
    <t>September 2019</t>
  </si>
  <si>
    <t>October 2019</t>
  </si>
  <si>
    <t>November 2019</t>
  </si>
  <si>
    <t>December 2019</t>
  </si>
  <si>
    <t>January 2020</t>
  </si>
  <si>
    <t>March 2020</t>
  </si>
  <si>
    <t>April 2020</t>
  </si>
  <si>
    <t>May 2020</t>
  </si>
  <si>
    <t>June 2020</t>
  </si>
  <si>
    <t>July 2020</t>
  </si>
  <si>
    <t>August 2020</t>
  </si>
  <si>
    <t>September 2020</t>
  </si>
  <si>
    <t>October 2020</t>
  </si>
  <si>
    <t>November 2020</t>
  </si>
  <si>
    <t>December 2020</t>
  </si>
  <si>
    <t>January 2021</t>
  </si>
  <si>
    <t>March 2021</t>
  </si>
  <si>
    <t>April 2021</t>
  </si>
  <si>
    <t>May 2021</t>
  </si>
  <si>
    <t>This worksheet contains one table. Applications are summarised by month and financial year totals are located at the bottom of the table.</t>
  </si>
  <si>
    <t>Notes are located below this table and begin in cell A36.</t>
  </si>
  <si>
    <t>Applications processed in the same day</t>
  </si>
  <si>
    <t>Applications processed within 10 days</t>
  </si>
  <si>
    <t>Applications processed within 15 days</t>
  </si>
  <si>
    <t>Average Processing Time 
[note 4]</t>
  </si>
  <si>
    <t>Processing Time by Month 
[note 1][note 2]</t>
  </si>
  <si>
    <t>Financial Year 2018-2019</t>
  </si>
  <si>
    <t>Financial Year 2019-2020</t>
  </si>
  <si>
    <t>Financial Year 2020-2021</t>
  </si>
  <si>
    <t>Financial Year 2021-2022</t>
  </si>
  <si>
    <t>Table 11: Best Start Grant and Best Start Foods Payments by Local Authority</t>
  </si>
  <si>
    <t>Total value of payments
[note 4]</t>
  </si>
  <si>
    <t>Local Authority 
[note 1][note 2][note 3]</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</si>
  <si>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 Applications with 'Unknown' local authorities also include a small number of payments which cannot be linked to the full applicant details.</t>
  </si>
  <si>
    <t>[note 5] Best Start Foods payments began in September 2019. Due to the nature of payment, payment value is rounded to the nearest pound.</t>
  </si>
  <si>
    <t>This worksheet contains one table. Payments are summarised by month and financial year totals are located at the bottom of the table.</t>
  </si>
  <si>
    <t>This worksheet contains one table. Re-determinations are summarised by month.</t>
  </si>
  <si>
    <t>Re-determinations as a percentage of decisions processed</t>
  </si>
  <si>
    <t>Table 13b: Appeals for Best Start Grant management information</t>
  </si>
  <si>
    <t>Table 13a: Re-determinations for Best Start Grant management information</t>
  </si>
  <si>
    <t>[note 3] Upheld means upheld in the applicant's favour</t>
  </si>
  <si>
    <t>This worksheet contains one table. Appeals are summarised by month.</t>
  </si>
  <si>
    <t>Reviews as a percentage of decisions processed</t>
  </si>
  <si>
    <t>Reviews completed 
[note 2]</t>
  </si>
  <si>
    <t xml:space="preserve">Percentage of total applications received </t>
  </si>
  <si>
    <t>Percentage of processed applications authorised</t>
  </si>
  <si>
    <t>Percentage of processed applications denied</t>
  </si>
  <si>
    <t xml:space="preserve">Percentage of processed applications withdrawn </t>
  </si>
  <si>
    <t xml:space="preserve">Percentage of Online Applications </t>
  </si>
  <si>
    <t xml:space="preserve">Percentage of total pregnancy and baby applications received </t>
  </si>
  <si>
    <t>Percentage of applications processed within 10 days 
[note 3]</t>
  </si>
  <si>
    <t>Percentage of Best Start Grant - Pregnancy and Baby Payments</t>
  </si>
  <si>
    <t xml:space="preserve">Percentage of Best Start Grant - Early Learning Payments </t>
  </si>
  <si>
    <t>Percentage of Best Start Grant - School Age Payments</t>
  </si>
  <si>
    <t>Percentage of Best Start Foods Payments</t>
  </si>
  <si>
    <t>Ayrshire and Arran 2018_2019</t>
  </si>
  <si>
    <t>Ayrshire and Arran 2019_2020</t>
  </si>
  <si>
    <t>Ayrshire and Arran 2020_2021</t>
  </si>
  <si>
    <t>Ayrshire and Arran 2021_2022</t>
  </si>
  <si>
    <t>Ayrshire and Arran All time</t>
  </si>
  <si>
    <t>Borders 2018_2019</t>
  </si>
  <si>
    <t>Borders 2019_2020</t>
  </si>
  <si>
    <t>Borders 2020_2021</t>
  </si>
  <si>
    <t>Borders 2021_2022</t>
  </si>
  <si>
    <t>Borders All time</t>
  </si>
  <si>
    <t>Dumfries and Galloway 2018_2019</t>
  </si>
  <si>
    <t>Dumfries and Galloway 2019_2020</t>
  </si>
  <si>
    <t>Dumfries and Galloway 2020_2021</t>
  </si>
  <si>
    <t>Dumfries and Galloway 2021_2022</t>
  </si>
  <si>
    <t>Dumfries and Galloway All time</t>
  </si>
  <si>
    <t>Forth Valley 2018_2019</t>
  </si>
  <si>
    <t>Forth Valley 2019_2020</t>
  </si>
  <si>
    <t>Forth Valley 2020_2021</t>
  </si>
  <si>
    <t>Forth Valley 2021_2022</t>
  </si>
  <si>
    <t>Forth Valley All time</t>
  </si>
  <si>
    <t>Grampian 2018_2019</t>
  </si>
  <si>
    <t>Grampian 2019_2020</t>
  </si>
  <si>
    <t>Grampian 2020_2021</t>
  </si>
  <si>
    <t>Grampian 2021_2022</t>
  </si>
  <si>
    <t>Grampian All time</t>
  </si>
  <si>
    <t>Greater Glasgow and Clyde 2018_2019</t>
  </si>
  <si>
    <t>Greater Glasgow and Clyde 2019_2020</t>
  </si>
  <si>
    <t>Greater Glasgow and Clyde 2020_2021</t>
  </si>
  <si>
    <t>Greater Glasgow and Clyde 2021_2022</t>
  </si>
  <si>
    <t>Greater Glasgow and Clyde All time</t>
  </si>
  <si>
    <t>Lanarkshire 2018_2019</t>
  </si>
  <si>
    <t>Lanarkshire 2019_2020</t>
  </si>
  <si>
    <t>Lanarkshire 2020_2021</t>
  </si>
  <si>
    <t>Lanarkshire 2021_2022</t>
  </si>
  <si>
    <t>Lanarkshire All time</t>
  </si>
  <si>
    <t>Lothian 2018_2019</t>
  </si>
  <si>
    <t>Lothian 2019_2020</t>
  </si>
  <si>
    <t>Lothian 2020_2021</t>
  </si>
  <si>
    <t>Lothian 2021_2022</t>
  </si>
  <si>
    <t>Lothian All time</t>
  </si>
  <si>
    <t>Orkney 2018_2019</t>
  </si>
  <si>
    <t>Orkney 2019_2020</t>
  </si>
  <si>
    <t>Orkney 2020_2021</t>
  </si>
  <si>
    <t>Orkney 2021_2022</t>
  </si>
  <si>
    <t>Orkney All time</t>
  </si>
  <si>
    <t>Shetland 2018_2019</t>
  </si>
  <si>
    <t>Shetland 2019_2020</t>
  </si>
  <si>
    <t>Shetland 2020_2021</t>
  </si>
  <si>
    <t>Shetland 2021_2022</t>
  </si>
  <si>
    <t>Shetland All time</t>
  </si>
  <si>
    <t>Tayside 2018_2019</t>
  </si>
  <si>
    <t>Tayside 2019_2020</t>
  </si>
  <si>
    <t>Tayside 2020_2021</t>
  </si>
  <si>
    <t>Tayside 2021_2022</t>
  </si>
  <si>
    <t>Tayside All time</t>
  </si>
  <si>
    <t>Unknown 2018_2019</t>
  </si>
  <si>
    <t>Unknown 2019_2020</t>
  </si>
  <si>
    <t>Unknown 2020_2021</t>
  </si>
  <si>
    <t>Unknown 2021_2022</t>
  </si>
  <si>
    <t>Unknown All time</t>
  </si>
  <si>
    <t>Western Isles 2018_2019</t>
  </si>
  <si>
    <t>Western Isles 2019_2020</t>
  </si>
  <si>
    <t>Western Isles 2020_2021</t>
  </si>
  <si>
    <t>Western Isles 2021_2022</t>
  </si>
  <si>
    <t>Western Isles All time</t>
  </si>
  <si>
    <t>18-24 2018_2019</t>
  </si>
  <si>
    <t>18-24 2019_2020</t>
  </si>
  <si>
    <t>18-24 2020_2021</t>
  </si>
  <si>
    <t>18-24 2021_2022</t>
  </si>
  <si>
    <t>18-24 All time</t>
  </si>
  <si>
    <t>25-29 2018_2019</t>
  </si>
  <si>
    <t>25-29 2019_2020</t>
  </si>
  <si>
    <t>25-29 2020_2021</t>
  </si>
  <si>
    <t>25-29 2021_2022</t>
  </si>
  <si>
    <t>25-29 All time</t>
  </si>
  <si>
    <t>30-34 2018_2019</t>
  </si>
  <si>
    <t>30-34 2019_2020</t>
  </si>
  <si>
    <t>30-34 2020_2021</t>
  </si>
  <si>
    <t>30-34 2021_2022</t>
  </si>
  <si>
    <t>30-34 All time</t>
  </si>
  <si>
    <t>35-39 2018_2019</t>
  </si>
  <si>
    <t>35-39 2019_2020</t>
  </si>
  <si>
    <t>35-39 2020_2021</t>
  </si>
  <si>
    <t>35-39 2021_2022</t>
  </si>
  <si>
    <t>35-39 All time</t>
  </si>
  <si>
    <t>40-44 2018_2019</t>
  </si>
  <si>
    <t>40-44 2019_2020</t>
  </si>
  <si>
    <t>40-44 2020_2021</t>
  </si>
  <si>
    <t>40-44 2021_2022</t>
  </si>
  <si>
    <t>40-44 All time</t>
  </si>
  <si>
    <t>45-49 2018_2019</t>
  </si>
  <si>
    <t>45-49 2019_2020</t>
  </si>
  <si>
    <t>45-49 2020_2021</t>
  </si>
  <si>
    <t>45-49 2021_2022</t>
  </si>
  <si>
    <t>45-49 All time</t>
  </si>
  <si>
    <t>50-54 2018_2019</t>
  </si>
  <si>
    <t>50-54 2019_2020</t>
  </si>
  <si>
    <t>50-54 2020_2021</t>
  </si>
  <si>
    <t>50-54 2021_2022</t>
  </si>
  <si>
    <t>50-54 All time</t>
  </si>
  <si>
    <t>55-59 2018_2019</t>
  </si>
  <si>
    <t>55-59 2019_2020</t>
  </si>
  <si>
    <t>55-59 2020_2021</t>
  </si>
  <si>
    <t>55-59 2021_2022</t>
  </si>
  <si>
    <t>55-59 All time</t>
  </si>
  <si>
    <t>60-64 2018_2019</t>
  </si>
  <si>
    <t>60-64 2019_2020</t>
  </si>
  <si>
    <t>60-64 2020_2021</t>
  </si>
  <si>
    <t>60-64 2021_2022</t>
  </si>
  <si>
    <t>60-64 All time</t>
  </si>
  <si>
    <t>65 and over 2018_2019</t>
  </si>
  <si>
    <t>65 and over 2019_2020</t>
  </si>
  <si>
    <t>65 and over 2020_2021</t>
  </si>
  <si>
    <t>65 and over 2021_2022</t>
  </si>
  <si>
    <t>65 and over All time</t>
  </si>
  <si>
    <t>Under 18 2018_2019</t>
  </si>
  <si>
    <t>Under 18 2019_2020</t>
  </si>
  <si>
    <t>Under 18 2020_2021</t>
  </si>
  <si>
    <t>Under 18 2021_2022</t>
  </si>
  <si>
    <t>Under 18 All time</t>
  </si>
  <si>
    <t>Notes are located below this table and begin in cell A13.</t>
  </si>
  <si>
    <t>Notes are located below this table and begin in cell A43.</t>
  </si>
  <si>
    <t>Table 14: Reviews for Best Start Grant management information</t>
  </si>
  <si>
    <t>This worksheet contains one table. Reviews are summarised by month.</t>
  </si>
  <si>
    <t>[c]</t>
  </si>
  <si>
    <t xml:space="preserve">Component included in application 
</t>
  </si>
  <si>
    <t xml:space="preserve">Authorised applications </t>
  </si>
  <si>
    <t xml:space="preserve">Denied Applications </t>
  </si>
  <si>
    <t xml:space="preserve">Withdrawn applications </t>
  </si>
  <si>
    <t>Best Start Foods 2019_2020</t>
  </si>
  <si>
    <t>Best Start Foods 2020_2021</t>
  </si>
  <si>
    <t>Best Start Foods 2021_2022</t>
  </si>
  <si>
    <t>Best Start Foods All time</t>
  </si>
  <si>
    <t>Pregnancy and Baby Payment 2018_2019</t>
  </si>
  <si>
    <t>Pregnancy and Baby Payment 2019_2020</t>
  </si>
  <si>
    <t>Pregnancy and Baby Payment 2020_2021</t>
  </si>
  <si>
    <t>Pregnancy and Baby Payment 2021_2022</t>
  </si>
  <si>
    <t>Pregnancy and Baby Payment All time</t>
  </si>
  <si>
    <t>School Age Payment 2019_2020</t>
  </si>
  <si>
    <t>School Age Payment 2020_2021</t>
  </si>
  <si>
    <t>School Age Payment 2021_2022</t>
  </si>
  <si>
    <t>School Age Payment All time</t>
  </si>
  <si>
    <t>Best Start Foods 2018_2019</t>
  </si>
  <si>
    <t>Early Learning Payment 2018_2019</t>
  </si>
  <si>
    <t>Early Learning Payment 2019_2020</t>
  </si>
  <si>
    <t>Early Learning Payment 2020_2021</t>
  </si>
  <si>
    <t>Early Learning Payment 2021_2022</t>
  </si>
  <si>
    <t>Early Learning Payment All time</t>
  </si>
  <si>
    <t>School Age Payment 2018_2019</t>
  </si>
  <si>
    <t>First Birth 2018_2019</t>
  </si>
  <si>
    <t>First Birth 2019_2020</t>
  </si>
  <si>
    <t>First Birth 2020_2021</t>
  </si>
  <si>
    <t>First Birth 2021_2022</t>
  </si>
  <si>
    <t>First Birth All time</t>
  </si>
  <si>
    <t>Subsequent Birth 2018_2019</t>
  </si>
  <si>
    <t>Subsequent Birth 2019_2020</t>
  </si>
  <si>
    <t>Subsequent Birth 2020_2021</t>
  </si>
  <si>
    <t>Subsequent Birth 2021_2022</t>
  </si>
  <si>
    <t>Subsequent Birth All time</t>
  </si>
  <si>
    <t>Multiple Births 2018_2019</t>
  </si>
  <si>
    <t>Multiple Births 2019_2020</t>
  </si>
  <si>
    <t>Multiple Births 2020_2021</t>
  </si>
  <si>
    <t>Multiple Births 2021_2022</t>
  </si>
  <si>
    <t>Multiple Births All Time</t>
  </si>
  <si>
    <t>Table 9: Applications for Best Start Grant Pregnancy and Baby Payment by Type of Birth</t>
  </si>
  <si>
    <t>Total Pregnancy and Baby Applications 2018_2019</t>
  </si>
  <si>
    <t>Total Pregnancy and Baby Applications 2019_2020</t>
  </si>
  <si>
    <t>Total Pregnancy and Baby Applications 2020_2021</t>
  </si>
  <si>
    <t>Total Pregnancy and Baby Applications 2021_2022</t>
  </si>
  <si>
    <t>Total Pregnancy and Baby Applications All time</t>
  </si>
  <si>
    <t>Not Applicable</t>
  </si>
  <si>
    <t>Percentage of Paper and Phone Applications</t>
  </si>
  <si>
    <t>See cell F8</t>
  </si>
  <si>
    <t>See cell F9</t>
  </si>
  <si>
    <t>See cell F10</t>
  </si>
  <si>
    <t>Applications processed in 
1-5 days</t>
  </si>
  <si>
    <t>Applications processed in 
6-10 days</t>
  </si>
  <si>
    <t>Applications processed in 
11-15 days</t>
  </si>
  <si>
    <t>Applications processed in 
16-20 days</t>
  </si>
  <si>
    <t>Applications processed in 
21 or more days</t>
  </si>
  <si>
    <t>Applications processed in 
16 days or more 
[note 3]</t>
  </si>
  <si>
    <t>This worksheet contains one table. Payments are summarised by Local Authority.</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</si>
  <si>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</si>
  <si>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</si>
  <si>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</si>
  <si>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</si>
  <si>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</si>
  <si>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</si>
  <si>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</si>
  <si>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</si>
  <si>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</si>
  <si>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</si>
  <si>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</si>
  <si>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</si>
  <si>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</si>
  <si>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</si>
  <si>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</si>
  <si>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</si>
  <si>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</si>
  <si>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</si>
  <si>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</si>
  <si>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</si>
  <si>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</si>
  <si>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</si>
  <si>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</si>
  <si>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</si>
  <si>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</si>
  <si>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</si>
  <si>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</si>
  <si>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</si>
  <si>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</si>
  <si>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</si>
  <si>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</si>
  <si>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</si>
  <si>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Unknown</t>
  </si>
  <si>
    <t>Non-Scottish</t>
  </si>
  <si>
    <t>No address</t>
  </si>
  <si>
    <t>See cells D13 and E13</t>
  </si>
  <si>
    <t>See cells D14 and E14</t>
  </si>
  <si>
    <t>See cells D15 and E15</t>
  </si>
  <si>
    <t>See cells D16 and E16</t>
  </si>
  <si>
    <t>See cells D17 and E17</t>
  </si>
  <si>
    <t>See cells D18 and E18</t>
  </si>
  <si>
    <t>See cells D19 and E19</t>
  </si>
  <si>
    <t>See cells D20 and E20</t>
  </si>
  <si>
    <t>See cells D21 and E21</t>
  </si>
  <si>
    <t>See cells D22 and E22</t>
  </si>
  <si>
    <t>See cells D23 and E23</t>
  </si>
  <si>
    <t>See cells D24 and E24</t>
  </si>
  <si>
    <t>See cells D25 and E25</t>
  </si>
  <si>
    <t>See cells D26 and E26</t>
  </si>
  <si>
    <t>See cells D27 and E27</t>
  </si>
  <si>
    <t>See cells D28 and E28</t>
  </si>
  <si>
    <t>See cells D29 and E29</t>
  </si>
  <si>
    <t>See cells D30 and E30</t>
  </si>
  <si>
    <t>See cells D31 and E31</t>
  </si>
  <si>
    <t>See cells D32 and E32</t>
  </si>
  <si>
    <t>See cells D33 and E33</t>
  </si>
  <si>
    <t>See cells D34 and E34</t>
  </si>
  <si>
    <t>See cells D35 and E35</t>
  </si>
  <si>
    <t>Percent of Total Applications Processed</t>
  </si>
  <si>
    <t>not applicable</t>
  </si>
  <si>
    <t>Table 13b</t>
  </si>
  <si>
    <t>Table 13a</t>
  </si>
  <si>
    <t>Re-determinations for Best Start Grant management information</t>
  </si>
  <si>
    <t>Appeals for Best Start Grant management information</t>
  </si>
  <si>
    <t>Table 2 - Full Data</t>
  </si>
  <si>
    <t>Table 4 - Full Data</t>
  </si>
  <si>
    <t>Table 5 - Full Data</t>
  </si>
  <si>
    <t>Table 6 - Full Data</t>
  </si>
  <si>
    <t>Table 7 - Full Data</t>
  </si>
  <si>
    <t>Table 8 - Full Data</t>
  </si>
  <si>
    <t>Table 9 - Full Data</t>
  </si>
  <si>
    <t>Applications by Best Start Grant and Best Start Foods payment type - Full Data</t>
  </si>
  <si>
    <t>Applications for Best Start Grant and Best Start Foods by age group - Full Data</t>
  </si>
  <si>
    <t>Applications for Best Start Grant and Best Start Foods by local authority - Full Data</t>
  </si>
  <si>
    <t>Applications received and benefit components applied for, by local authority - Full Data</t>
  </si>
  <si>
    <t>Applications for Best Start Grant and Best Start Foods by health board - Full Data</t>
  </si>
  <si>
    <t>Applications received and benefit components applied for, by health board - Full Data</t>
  </si>
  <si>
    <t>Applications for Best Start Grant Pregnancy and Baby Payment by first and subsequent births - Full Data</t>
  </si>
  <si>
    <t>Month
 [note 1][note 2][note 3][note 4]</t>
  </si>
  <si>
    <t>[note 1] Financial Year 2018 - 2019 includes the months from December 2018 to March 2019.</t>
  </si>
  <si>
    <t>[note 2] Financial Year 2019 - 2020 includes the months from April 2019 to March 2020.</t>
  </si>
  <si>
    <t>Total applications received 
[note 5]</t>
  </si>
  <si>
    <t>[note 5] From 12 August 2019 applications received are counted for both Best Start Grant and Best Start Foods. Until 12 August 2019 the numbers only include Best Start Grant applications.</t>
  </si>
  <si>
    <t>Total applications processed  [note 6]</t>
  </si>
  <si>
    <t xml:space="preserve">[note 6] Applications are processed once a decision has been made to authorise or deny, or once an application is withdrawn by the applicant. Data is presented by the month of decision rather than month the application was received. </t>
  </si>
  <si>
    <t>[note 7] Application was authorised for either Best Start Foods or at least one Best Start Grant payment.</t>
  </si>
  <si>
    <t>[note 8] Application was denied for both Best Start Foods and all Best Start Grant payments.</t>
  </si>
  <si>
    <t>[note 9] Applications were either withdrawn for both payments from 12 August 2019, or Best Start Grant application was withdrawn before the launch of Best Start Foods.</t>
  </si>
  <si>
    <t>Phone Applications 
[note 2][note 3]</t>
  </si>
  <si>
    <t>[note 1] From 12 August 2019 applications received are counted for both Best Start Grant and Best Start Foods. Until 12 August 2019 the numbers only include Best Start Grant.</t>
  </si>
  <si>
    <t>[note 2] Application channel cannot be broken down into paper and phone before May 2019</t>
  </si>
  <si>
    <t>[note 3] Changes were made in March 2020 in response to the Covid-19 pandemic meaning the full telephony service was not available between 24th March onwards. On 3rd July, a limited inbound telephony service was re-introduced. The full telephony service resumed on 2nd November.</t>
  </si>
  <si>
    <t>[note 4] Where application channel has been manually entered incorrectly, application channel has been classed as ‘unknown’. These figures are not subject to suppression as they do not reveal information on any individuals.</t>
  </si>
  <si>
    <t>[note 3] Financial Year 2020 - 2021 includes the months from April 2020 to March 2021.</t>
  </si>
  <si>
    <t>[note 5] Applications for multiple types of payment are counted multiple times within this table.</t>
  </si>
  <si>
    <t xml:space="preserve">[note 6] Applications are categorised as being for Pregnancy and Baby Payment if the application form included baby details. </t>
  </si>
  <si>
    <t>[note 7] Applications are categorised as being for Early Learning Payment, School Age Payment, or Best Start Foods if the application form was received on or after the payment went live and it had details of dependent children of the relevant eligible ages.</t>
  </si>
  <si>
    <t xml:space="preserve">[note 8] Applications are categorised as being Unknown, where no children were of eligible age for either Best Start Grant or Best Start Foods payment. The authorisation rate for unknown applications is low because the application did not include children of eligible age. </t>
  </si>
  <si>
    <t>[note 9] It is likely that all applications in the 2018 - 2019 financial year were for Pregnancy and Baby Payment but some applications contained no evidence of pregnancy or eligible children and are categorised as 'unknown'.</t>
  </si>
  <si>
    <t>Component included in application 
[note 5][note 6][note 7][note 8]
[note 9]</t>
  </si>
  <si>
    <t>Combined Phone and Paper Applications 
[note 2]</t>
  </si>
  <si>
    <t>To view the full data behind this table please see the worksheet entitled Table 5 - Full data.</t>
  </si>
  <si>
    <t>[note 5]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</si>
  <si>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Local Authority 
[note 5][note 6][note 7]</t>
  </si>
  <si>
    <t>[note 7] Some applications did not have a postcode and therefore cannot be matched to local authority or country.</t>
  </si>
  <si>
    <t>[note 8] From 12 August 2019 applications received are counted for both Best Start Grant and Best Start Foods. Until 12 August 2019 the numbers only include Best Start Grant.</t>
  </si>
  <si>
    <t>[note 9] Application was authorised for either Best Start Foods or at least one Best Start Grant payment.</t>
  </si>
  <si>
    <t>[note 10] Application was denied for both Best Start Foods and all Best Start Grant payments.</t>
  </si>
  <si>
    <t>[note 11] Applications were either withdrawn for both payments from 12 August 2019, or Best Start Grant application was withdrawn before the launch of Best Start Foods.</t>
  </si>
  <si>
    <t>[note 6]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have a Scottish postcode at the time of application.</t>
  </si>
  <si>
    <t>[note 9] Applications for multiple types of payment are counted multiple times within this table. Thus, adding up the components within a local authority will not equal the total applications for that local authority.</t>
  </si>
  <si>
    <t>Total applications received 
[note 8]</t>
  </si>
  <si>
    <t>Authorised applications [note 9]</t>
  </si>
  <si>
    <t>Denied Applications [note 10]</t>
  </si>
  <si>
    <t>Withdrawn applications [note 11]</t>
  </si>
  <si>
    <t>Applications for Best Start Grant - Pregnancy and Baby Payment 
[note 9][note 10]</t>
  </si>
  <si>
    <t>Applications for Best Start Grant - Early Learning Payment 
[note 9][note 11]</t>
  </si>
  <si>
    <t>Applications for Best Start grant - School Age Payment 
[note 9][note 11]</t>
  </si>
  <si>
    <t>Percentage of applications for Best Start Grant - Pregnancy and Baby Payment [note 9][note 10]</t>
  </si>
  <si>
    <t>Percentage of applications for Best Start Grant - Early Learning Payment 
[note 9][note 11]</t>
  </si>
  <si>
    <t>Percentage of applications for Best Start Grant - School Age Payment 
[note 9][note 11]</t>
  </si>
  <si>
    <t>Percentage of applications for Unknown application [note 9][note 12]</t>
  </si>
  <si>
    <t xml:space="preserve">[note 10] Applications are categorised as being for Pregnancy and Baby Payment if the application form included baby details. </t>
  </si>
  <si>
    <t>[note 11] Applications are categorised as being for Early Learning Payment, School Age Payment, or Best Start Foods if the application form was received on or after the payment went live and it had details of dependent children of the relevant eligible ages.</t>
  </si>
  <si>
    <t xml:space="preserve">[note 12] Applications are categorised as being Unknown, where no children were of eligible age for either Best Start Grant or Best Start Foods payment. The authorisation rate for unknown applications is low because the application did not include children of eligible age. </t>
  </si>
  <si>
    <t>Applications for Best Start Foods 
[note 9][note 11]</t>
  </si>
  <si>
    <t>Health Board
[note 5][note 6][note 7]</t>
  </si>
  <si>
    <t>[note 5] Some applications cannot be matched to a Scottish health board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</si>
  <si>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7] Some applications did not have a postcode and therefore cannot be matched to health board or country.</t>
  </si>
  <si>
    <t>[note 6] Applications have been assigned as being non-Scottish if they do not appear on the lookup file used to match postcodes to Scottish health boards, and if the applications is from a non-Scottish postcode area. Non-Scottish postcode applications that have been authorised or received payments did have a Scottish postcode at the time of application.</t>
  </si>
  <si>
    <t>[note 9] Applications for multiple types of payment are counted multiple times within this table. Thus, adding up the components within a health board will not equal the total applications for that health board.</t>
  </si>
  <si>
    <t xml:space="preserve">[note 5]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 </t>
  </si>
  <si>
    <t>[note 7] From 12 August 2019 applications received are counted for both Best Start Grant and Best Start Foods. Until 12 August 2019 the numbers only include Best Start Grant.</t>
  </si>
  <si>
    <t>[note 8] Applications are only counted as 'authorised' if they have been authorised for pregnancy and baby payment. Applications that were authorised for Early Learning Payment or School Age Payment but not baby payment are counted as 'denied' in this table.</t>
  </si>
  <si>
    <t>Total applications received 
[note 7]</t>
  </si>
  <si>
    <t>Authorised applications [note 8]</t>
  </si>
  <si>
    <t>[note 2] Data is presented by the month of decision rather than month the application was received. From 12 August 2019 applications received are counted for both Best Start Grant and Best Start Foods. Until 12 August 2019 the numbers only include Best Start Grant.</t>
  </si>
  <si>
    <t>[note 3]  All decisions made in December 2018 were made within 15 working days, and a high number were made within ten days. This is because applications were taken from 10 December, leaving only 14 working days in the rest of the month during which decisions could be made.</t>
  </si>
  <si>
    <t>[note 4] Median average processing time. The median is the middle value of an ordered dataset, or the point at which half of the values are higher and half of the values are lower. Value is dispayed in days.</t>
  </si>
  <si>
    <t xml:space="preserve">Total applications excluding 
re-determinations
</t>
  </si>
  <si>
    <t>This worksheet contains one table. Applications are summarised by month and application channel.</t>
  </si>
  <si>
    <t>To view the full data behind this table please see the worksheet entitled Table 6 - Full data.</t>
  </si>
  <si>
    <t>This worksheet contains one table on processing times. Applications are summarised by month. Percentages of total processed applications are located at the bottom of the table.</t>
  </si>
  <si>
    <t>[note 4] Includes payments that are a result of re-determinations and appeals.</t>
  </si>
  <si>
    <t>Value of Best Start Grant - Pregnancy and Baby Payments [note 4]</t>
  </si>
  <si>
    <t>Value of Best Start Grant - Early Learning Payments [note 4]</t>
  </si>
  <si>
    <t>Value of Best Start Grant - School Age Payments [note 4]</t>
  </si>
  <si>
    <t>[note 1] Payment values have been allocated to the month the payment was issued, rather than the month it was received by a client.</t>
  </si>
  <si>
    <t>[note 2] Financial Year 2018 - 2019 includes the months from December 2018 to March 2019.</t>
  </si>
  <si>
    <t>[note 3] Financial Year 2019 - 2020 includes the months from April 2019 to March 2020.</t>
  </si>
  <si>
    <t>[note 4] Financial Year 2020 - 2021 includes the months from April 2020 to March 2021.</t>
  </si>
  <si>
    <t>Payment Month 
[note 1][note 2][note 3][note 4][note 5]</t>
  </si>
  <si>
    <t>[note 6] Includes payments that are a result of re-determinations and appeals.</t>
  </si>
  <si>
    <t>[note 7] The Best Start Foods payment cycles occur every four weeks. Two payment cycles fell within both January 2020 and December 2020.</t>
  </si>
  <si>
    <t>Total value of payments
[note 6]</t>
  </si>
  <si>
    <t>Value of Best Start Grant - Early Learning Payments [note 6]</t>
  </si>
  <si>
    <t>Value of Best Start Foods Payments 
[note 6][note 7]</t>
  </si>
  <si>
    <t>[note 1] Data is presented by the month the redetermination was received. Data presented does not include invalid re-determinations.</t>
  </si>
  <si>
    <t>[note 2] Data is presented by the month of decision rather than month the re-determination was received. Data presented does not include invalid re-determinations.</t>
  </si>
  <si>
    <t>Re-determinations completed 
[note 2]</t>
  </si>
  <si>
    <t>Re-determinations 
closed within 16 working days 
[note 1][note 3]</t>
  </si>
  <si>
    <t xml:space="preserve">[note 3] Average days to respond and percentage closed within 16 working days are only calculated for re-determinations that were disallowed, allowed, or partially allowed - this figure excludes re-determinations that were withdrawn or invalid. </t>
  </si>
  <si>
    <t>[note 4] Median has been used to calculate the average number of days to respond. The median is the middle value of an ordered dataset, or the point at which half of the values are higher and half of the values are lower.</t>
  </si>
  <si>
    <t>Average number of days to respond 
[note 2][note 3][note4]</t>
  </si>
  <si>
    <t>Number of appeals received 
[note 1]</t>
  </si>
  <si>
    <t>[note 1] Figures exclude withdrawn and invalid appeals</t>
  </si>
  <si>
    <t>Appeal hearings taking place 
[note 1][note 2]</t>
  </si>
  <si>
    <t>Appeals not upheld
[note 1][note 2][note 3]</t>
  </si>
  <si>
    <t>Percentage of appeals upheld
[note 1][note 2][note 3]</t>
  </si>
  <si>
    <t>Percentage of appeals not upheld
[note 1][note 2][note 3]</t>
  </si>
  <si>
    <t>[note 2] Data is presented by the month of decision rather than month the appeal was received.</t>
  </si>
  <si>
    <t xml:space="preserve">[note 2] Data is presented by the month of decision rather than month the request was received. </t>
  </si>
  <si>
    <t>[note 1] Figures do not include applications that had a review that were deemed 'invalid'.</t>
  </si>
  <si>
    <t xml:space="preserve">[note 3] Average days to respond are only calculated for reviews that were disallowed or allowed - this figure excludes reviews that were withdrawn and Best Start Grant applications that had a re-determination associated with them. </t>
  </si>
  <si>
    <t>[note 4] Median has been used to calculate average number of days to respond. The median is the middle value of an ordered dataset, or the point at which half of the values are higher and half of the values are lower.</t>
  </si>
  <si>
    <t>Average number of days to respond 
[note 2][note 3][note 4]</t>
  </si>
  <si>
    <t>June 2021</t>
  </si>
  <si>
    <t>July 2021</t>
  </si>
  <si>
    <t>August 2021</t>
  </si>
  <si>
    <t>See cells D36 and E36</t>
  </si>
  <si>
    <t>See cells D37 and E37</t>
  </si>
  <si>
    <t>See cells D38 and E38</t>
  </si>
  <si>
    <t>Applicant Age Group
[note 5][note 6]</t>
  </si>
  <si>
    <t>Denied Applications [note 9]</t>
  </si>
  <si>
    <t>Withdrawn applications [note 10]</t>
  </si>
  <si>
    <t>[note 5] The under 18 age group includes some possible errors in date of birth.</t>
  </si>
  <si>
    <t xml:space="preserve">[note 6] Age is unknown where date of birth is missing or incorrect (e.g. child date of birth has been input instead of applicant date of birth). </t>
  </si>
  <si>
    <t>[note 8] Application was authorised for either Best Start Foods or at least one Best Start Grant payment.</t>
  </si>
  <si>
    <t>[note 9] Application was denied for both Best Start Foods and all Best Start Grant payments.</t>
  </si>
  <si>
    <t>[note 10] Applications were either withdrawn for both payments from 12 August 2019, or Best Start Grant application was withdrawn before the launch of Best Start Foods.</t>
  </si>
  <si>
    <t>[note 10] Applications are processed once a decision has been made to authorise or deny, or once an application is withdrawn by the applicant. Data is presented by the financial year of decision rather than the financial year the application was received. Applications received in a particular financial year were not necessarily processed in that same financial year.</t>
  </si>
  <si>
    <t>[note 11]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</si>
  <si>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[note 12]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t>
  </si>
  <si>
    <t>[note 13] Applications were either withdrawn for both payments from 12 August 2019, or Best Start Grant application was withdrawn before the launch of Best Start Foods. For each component included in the application form, application was only withdrawn for the particular component.</t>
  </si>
  <si>
    <t>Denied Applications [note 12]</t>
  </si>
  <si>
    <t>Financial Year selection 
[note 1][note 2][note 3][note 4]:</t>
  </si>
  <si>
    <t>Applications Received by month 
[note 1]</t>
  </si>
  <si>
    <t>Paper Applications 
[note 2]</t>
  </si>
  <si>
    <t>Unknown Channel 
[note 4]</t>
  </si>
  <si>
    <t>Total applications processed 
[note 10]</t>
  </si>
  <si>
    <t>Authorised applications 
[note 11]</t>
  </si>
  <si>
    <t>Withdrawn applications 
[note 13]</t>
  </si>
  <si>
    <t>Applications for Unknown application 
[note 9][note 12]</t>
  </si>
  <si>
    <t>Percentage of applications for Best Start Foods
 [note 9][note 11]</t>
  </si>
  <si>
    <t>Financial Year selection
 [note 1][note 2][note 3][note 4]:</t>
  </si>
  <si>
    <t>Percentage of applications for Best Start Grant - Pregnancy and Baby Payment 
[note 9][note 10]</t>
  </si>
  <si>
    <t>Percentage of applications for Best Start Foods 
[note 9][note 11]</t>
  </si>
  <si>
    <t>Type of Birth 
[note 5][note 6]</t>
  </si>
  <si>
    <t>Authorised applications 
[note 8]</t>
  </si>
  <si>
    <t>Value of Best Start Grant - School Age Payments
 [note 6]</t>
  </si>
  <si>
    <t>Value of Best Start Grant - Pregnancy and Baby Payments 
[note 6]</t>
  </si>
  <si>
    <t>Financial Year 2019 - 2020 includes the months from April 2019 to March 2020.</t>
  </si>
  <si>
    <t>Financial Year 2020 - 2021 includes the months from April 2020 to March 2021.</t>
  </si>
  <si>
    <t xml:space="preserve">Applications are categorised as being for Pregnancy and Baby Payment if the application form included baby details. </t>
  </si>
  <si>
    <t>Applications are categorised as being for Early Learning Payment, School Age Payment, or Best Start Foods if the application form was received on or after the payment went live and it had details of dependent children of the relevant eligible ages.</t>
  </si>
  <si>
    <t xml:space="preserve">Applications are categorised as being Unknown, where no children were of eligible age for either Best Start Grant or Best Start Foods payment. The authorisation rate for unknown applications is low because the application did not include children of eligible age. </t>
  </si>
  <si>
    <t>Applications for multiple types of payment are counted multiple times within this chart.</t>
  </si>
  <si>
    <t xml:space="preserve">Total applications received
</t>
  </si>
  <si>
    <t>Authorised applications</t>
  </si>
  <si>
    <t xml:space="preserve">Applications for Best Start Grant - Pregnancy and Baby Payment </t>
  </si>
  <si>
    <t>Applications for Best Start Grant - Early Learning Payment</t>
  </si>
  <si>
    <t xml:space="preserve">Applications for Best Start grant - School Age Payment </t>
  </si>
  <si>
    <t xml:space="preserve">Applications for Best Start Foods </t>
  </si>
  <si>
    <t xml:space="preserve">Applications for Unknown application </t>
  </si>
  <si>
    <t xml:space="preserve">Percentage of applications for Best Start Grant - Pregnancy and Baby Payment </t>
  </si>
  <si>
    <t xml:space="preserve">Percentage of applications for Best Start Grant - Early Learning Payment </t>
  </si>
  <si>
    <t xml:space="preserve">Percentage of applications for Best Start Grant - School Age Payment </t>
  </si>
  <si>
    <t xml:space="preserve">Percentage of applications for Best Start Foods </t>
  </si>
  <si>
    <t xml:space="preserve">Percentage of applications for Unknown application </t>
  </si>
  <si>
    <t xml:space="preserve">Total applications received </t>
  </si>
  <si>
    <t xml:space="preserve">Applications for Best Start Grant - Early Learning Payment </t>
  </si>
  <si>
    <t>Percentage of applications for Best Start Foods</t>
  </si>
  <si>
    <t>First or Subsequent Birth</t>
  </si>
  <si>
    <t>Denied Applications</t>
  </si>
  <si>
    <t>Best Start Grant and Best Start Foods from 10 December 2018 to 30 November 2021</t>
  </si>
  <si>
    <t>September 2021</t>
  </si>
  <si>
    <t>October 2021</t>
  </si>
  <si>
    <t>November 2021</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</si>
  <si>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</si>
  <si>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</si>
  <si>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A48.</t>
  </si>
  <si>
    <t>Notes are located below this table and begin in cell A15.</t>
  </si>
  <si>
    <t>Notes are located below this table and begin in cell A44.</t>
  </si>
  <si>
    <t>Notes are located below this table and begin in cell A22.</t>
  </si>
  <si>
    <t>Notes are located below this table and begin in cell A45.</t>
  </si>
  <si>
    <t>Notes are located below this table and begin in cell A27.</t>
  </si>
  <si>
    <t>[note 4] Financial Year 2021 - 2022 includes the months from April 2021 to November 2021.</t>
  </si>
  <si>
    <t>[note 1] Processing time is calculated in working days, and public holidays are excluded, even if applications were processed by staff working overtime on these days. Processing time is only calculated for applications that were decided by 30 November 2021,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</si>
  <si>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Financial Year 2021 - 2022 includes the months from April 2021 to November 2021.</t>
  </si>
  <si>
    <t>See cells D39 and E39</t>
  </si>
  <si>
    <t>See cells D40 and E40</t>
  </si>
  <si>
    <t>See cells D41 and E41</t>
  </si>
  <si>
    <t>See cell F11</t>
  </si>
  <si>
    <t>See cell F12</t>
  </si>
  <si>
    <t>See cells D42 and E42</t>
  </si>
  <si>
    <t>See cells D43 and E43</t>
  </si>
  <si>
    <t>Table of Contents</t>
  </si>
  <si>
    <t>Table or Chart Number</t>
  </si>
  <si>
    <t xml:space="preserve">Table or Chart Description </t>
  </si>
  <si>
    <t xml:space="preserve">Total applications received 
[note 7]
</t>
  </si>
  <si>
    <t>This worksheet contains one table which summarises applications by age group. It features a drop down menu to present the statistics by financial year. To select the financial year, navigate to cell B7 and either click the down arrow on screen or use the keyboard shortcut alt + the down arrow.</t>
  </si>
  <si>
    <t>This worksheet contains one table which summarises applications by payment type. It features a drop down menu to present the statistics by financial year. To select the financial year, navigate to cell B7 and either click the down arrow on screen or use the keyboard shortcut alt + the down arrow.</t>
  </si>
  <si>
    <t>This worksheet contains one table which summarises applications by local authority. It features a drop down menu to present the statistics by financial year. To select the financial year, navigate to cell B7 and either click the down arrow on screen or use the keyboard shortcut alt + the down arrow.</t>
  </si>
  <si>
    <t>This worksheet contains one table which summarises applications by type of birth. It features a drop down menu to present the statistics by financial year. To select the financial year, navigate to cell B7 and either click the down arrow on screen or use the keyboard shortcut alt + the down arrow.</t>
  </si>
  <si>
    <t>This worksheet contains one table which summarises applications by health board and benefit component. It features a drop down menu to present the statistics by financial year. To select the financial year, navigate to cell B7 and either click the down arrow on screen or use the keyboard shortcut alt + the down arrow.</t>
  </si>
  <si>
    <t>This worksheet contains one table which summarises applications by health board. It features a drop down menu to present the statistics by financial year. To select the financial year, navigate to cell B7 and either click the down arrow on screen or use the keyboard shortcut alt + the down arrow.</t>
  </si>
  <si>
    <t>This worksheet contains one table which summarises applications by local authority and benefit component. It features a drop down menu to present the statistics by financial year. To select the financial year, navigate to cell B7 and either click the down arrow on screen or use the keyboard shortcut alt + the down arrow.</t>
  </si>
  <si>
    <t>[note 6] Applications are counted as 'multiple birth' if they contained information on more than one expected child.</t>
  </si>
  <si>
    <t>This worksheet contains one chart. Alternative text for this chart is located in cell A3.</t>
  </si>
  <si>
    <t xml:space="preserve">Alternative Text: This chart summarises the number of applications received since the benefit launched on 10 December 2018. Vertical bars are used to show the number of applications for each month. The figures used in this chart are located in Table 1 of this document. </t>
  </si>
  <si>
    <t xml:space="preserve">Alternative Text: This chart summarises the value of payments since the benefit launched on 10 December 2018. Vertical bars are used to show the value of payments for each month (in millions of pounds) and colours and labels distinguish between the different payment types. The figures used in this chart are located in Table 12 of this document. </t>
  </si>
  <si>
    <t>Value of Best Start Foods Payments 
[note 4]
[note 5]</t>
  </si>
  <si>
    <t>Financial Year 2018 - 2019 includes the months from December 2018 to March 2019. During these months, pregnancy and baby payment was the only payment that had launched.</t>
  </si>
  <si>
    <t>Alternative Text: This chart summarises the number of applications received since the benefit launched on 10 December 2018. Vertical bars are used to show the number of applications received, summarised by financial year. Colours and labels are used to show the number of applications for each payment type. The figures used in this chart are located in Table 2 of this document. Notes are located below the chart, in cell A35.</t>
  </si>
  <si>
    <t>n/a</t>
  </si>
  <si>
    <t>Number of  re-determinations  received 
[note 1]</t>
  </si>
  <si>
    <t>Completed re-determinations which are disallowed 
[note 2]</t>
  </si>
  <si>
    <t>Completed re-determinations which are allowed or partially allowed 
[note 2]</t>
  </si>
  <si>
    <t>Completed re-determinations which are withdrawn 
[note 2]</t>
  </si>
  <si>
    <t>Percentage of re-determinations disallowed 
[note 2]</t>
  </si>
  <si>
    <t>Percentage of re-determinations allowed or partially allowed 
[note 2]</t>
  </si>
  <si>
    <t>Percentage of re-determinations withdrawn 
[note 2]</t>
  </si>
  <si>
    <t>Re-determinations pending by end of the month</t>
  </si>
  <si>
    <t>Appeals upheld 
[note 1][note 2][note 3]</t>
  </si>
  <si>
    <t>Number of review requests received 
[note 1]</t>
  </si>
  <si>
    <t>Completed reviews which are disallowed 
[note 2]</t>
  </si>
  <si>
    <t>Completed reviews which are allowed or partially allowed 
[note 2]</t>
  </si>
  <si>
    <t>Completed reviews which are withdrawn 
[note 2]</t>
  </si>
  <si>
    <t>Percentage of reviews disallowed 
[note 2]</t>
  </si>
  <si>
    <t>Percentage of reviews allowed or partially allowed 
[note 2]</t>
  </si>
  <si>
    <t>Percentage of reviews withdrawn 
[note 2]</t>
  </si>
  <si>
    <t>Review requests pending by end of the month</t>
  </si>
  <si>
    <t>[note 5] Financial Year 2021 - 2022 includes the months from April 2021 to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</si>
</sst>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 ;\-#,##0\ "/>
    <numFmt numFmtId="166" formatCode="0.000000"/>
  </numFmts>
  <fonts count="19"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5"/>
      <color theme="3"/>
      <name val="Calibri"/>
      <family val="2"/>
      <scheme val="minor"/>
    </font>
    <font>
      <b/>
      <sz val="12"/>
      <color theme="1"/>
      <name val="Calibri"/>
      <family val="2"/>
      <scheme val="minor"/>
    </font>
    <font>
      <b/>
      <sz val="16"/>
      <color theme="1"/>
      <name val="Calibri"/>
      <family val="2"/>
      <scheme val="minor"/>
    </font>
    <font>
      <b/>
      <sz val="16"/>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sz val="12"/>
      <name val="Calibri"/>
      <family val="2"/>
      <scheme val="minor"/>
    </font>
    <font>
      <sz val="12"/>
      <name val="Calibri"/>
      <scheme val="minor"/>
    </font>
    <font>
      <u/>
      <sz val="12"/>
      <color theme="10"/>
      <name val="Calibri"/>
      <family val="2"/>
      <scheme val="minor"/>
    </font>
    <font>
      <b/>
      <sz val="14"/>
      <color theme="1"/>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medium">
        <color rgb="FFC1C1C1"/>
      </left>
      <right style="medium">
        <color rgb="FFB0B7BB"/>
      </right>
      <top/>
      <bottom style="medium">
        <color rgb="FFB0B7BB"/>
      </bottom>
      <diagonal/>
    </border>
    <border>
      <left style="medium">
        <color rgb="FFC1C1C1"/>
      </left>
      <right style="medium">
        <color rgb="FFB0B7BB"/>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bottom/>
      <diagonal/>
    </border>
    <border>
      <left/>
      <right style="thin">
        <color indexed="64"/>
      </right>
      <top/>
      <bottom style="thin">
        <color indexed="64"/>
      </bottom>
      <diagonal/>
    </border>
    <border>
      <left/>
      <right/>
      <top/>
      <bottom style="thin">
        <color theme="1"/>
      </bottom>
      <diagonal/>
    </border>
    <border>
      <left style="thin">
        <color indexed="64"/>
      </left>
      <right style="thin">
        <color indexed="64"/>
      </right>
      <top/>
      <bottom style="thin">
        <color theme="1"/>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5" fillId="0" borderId="1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42">
    <xf numFmtId="0" fontId="0" fillId="0" borderId="0" xfId="0"/>
    <xf numFmtId="0" fontId="1" fillId="0" borderId="0" xfId="0" applyFont="1"/>
    <xf numFmtId="0" fontId="3" fillId="0" borderId="0" xfId="3"/>
    <xf numFmtId="43" fontId="0" fillId="0" borderId="0" xfId="1" applyFont="1" applyBorder="1"/>
    <xf numFmtId="0" fontId="0" fillId="0" borderId="0" xfId="0" applyBorder="1"/>
    <xf numFmtId="0" fontId="0" fillId="0" borderId="0" xfId="0"/>
    <xf numFmtId="43" fontId="2" fillId="0" borderId="0" xfId="1" applyFont="1" applyBorder="1"/>
    <xf numFmtId="9" fontId="2" fillId="0" borderId="0" xfId="2" applyFont="1" applyBorder="1"/>
    <xf numFmtId="0" fontId="0" fillId="0" borderId="0" xfId="0" applyAlignment="1">
      <alignment horizontal="right"/>
    </xf>
    <xf numFmtId="0" fontId="0" fillId="0" borderId="0" xfId="0" applyAlignment="1">
      <alignment horizontal="center" vertical="center"/>
    </xf>
    <xf numFmtId="0" fontId="0" fillId="0" borderId="0" xfId="0" applyFill="1" applyBorder="1"/>
    <xf numFmtId="9" fontId="1" fillId="0" borderId="0" xfId="2" applyFont="1" applyFill="1" applyBorder="1"/>
    <xf numFmtId="49" fontId="0" fillId="0" borderId="0" xfId="0" applyNumberFormat="1" applyAlignment="1">
      <alignment horizontal="left"/>
    </xf>
    <xf numFmtId="0" fontId="0" fillId="0" borderId="0" xfId="0" applyAlignment="1"/>
    <xf numFmtId="0" fontId="0" fillId="0" borderId="0" xfId="0" applyFill="1"/>
    <xf numFmtId="0" fontId="0" fillId="0" borderId="0" xfId="0" applyAlignment="1">
      <alignment horizontal="left"/>
    </xf>
    <xf numFmtId="43" fontId="1" fillId="0" borderId="0" xfId="1" applyFont="1" applyBorder="1"/>
    <xf numFmtId="9" fontId="1" fillId="0" borderId="0" xfId="2" applyFont="1" applyBorder="1"/>
    <xf numFmtId="0" fontId="0" fillId="0" borderId="0" xfId="0" applyAlignment="1"/>
    <xf numFmtId="0" fontId="1" fillId="0" borderId="0" xfId="0" applyFont="1" applyFill="1" applyBorder="1" applyAlignment="1">
      <alignment horizontal="center" vertical="center" wrapText="1"/>
    </xf>
    <xf numFmtId="0" fontId="8" fillId="0" borderId="0" xfId="4" applyFont="1" applyBorder="1"/>
    <xf numFmtId="0" fontId="8" fillId="0" borderId="0" xfId="4" applyFont="1" applyFill="1" applyBorder="1" applyAlignment="1"/>
    <xf numFmtId="0" fontId="0" fillId="0" borderId="0" xfId="0"/>
    <xf numFmtId="0" fontId="1" fillId="0" borderId="0" xfId="0" applyFont="1"/>
    <xf numFmtId="0" fontId="0" fillId="0" borderId="0" xfId="0" applyBorder="1"/>
    <xf numFmtId="0" fontId="0" fillId="0" borderId="0" xfId="0" applyAlignment="1">
      <alignment horizontal="left"/>
    </xf>
    <xf numFmtId="0" fontId="10" fillId="0" borderId="0" xfId="4" applyFont="1" applyFill="1" applyBorder="1"/>
    <xf numFmtId="0" fontId="11" fillId="0" borderId="0" xfId="0" applyFont="1"/>
    <xf numFmtId="0" fontId="11" fillId="0" borderId="0" xfId="0" applyFont="1" applyAlignment="1">
      <alignment horizontal="left"/>
    </xf>
    <xf numFmtId="0" fontId="11" fillId="0" borderId="0" xfId="0" applyFont="1" applyAlignment="1">
      <alignment wrapText="1"/>
    </xf>
    <xf numFmtId="0" fontId="6" fillId="0" borderId="0" xfId="0" applyFont="1"/>
    <xf numFmtId="0" fontId="7" fillId="0" borderId="0" xfId="0" applyFont="1"/>
    <xf numFmtId="0" fontId="9" fillId="0" borderId="12" xfId="0" applyFont="1" applyFill="1" applyBorder="1" applyAlignment="1">
      <alignment horizontal="center" vertical="center" wrapText="1"/>
    </xf>
    <xf numFmtId="0" fontId="12" fillId="0" borderId="0" xfId="0" applyFont="1" applyFill="1" applyBorder="1" applyAlignment="1">
      <alignment vertical="center" wrapText="1"/>
    </xf>
    <xf numFmtId="0" fontId="9" fillId="0" borderId="5" xfId="0" applyFont="1" applyFill="1" applyBorder="1" applyAlignment="1">
      <alignment horizontal="left" vertical="center"/>
    </xf>
    <xf numFmtId="49" fontId="10" fillId="0" borderId="0" xfId="0" applyNumberFormat="1" applyFont="1" applyFill="1" applyBorder="1"/>
    <xf numFmtId="9" fontId="13" fillId="0" borderId="0" xfId="2" applyFont="1"/>
    <xf numFmtId="0" fontId="11" fillId="0" borderId="0" xfId="0" applyFont="1"/>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6" xfId="0" applyFont="1" applyBorder="1"/>
    <xf numFmtId="0" fontId="11" fillId="0" borderId="7" xfId="0" applyFont="1" applyBorder="1"/>
    <xf numFmtId="0" fontId="11" fillId="0" borderId="0" xfId="0" applyFont="1" applyAlignment="1">
      <alignment horizontal="left"/>
    </xf>
    <xf numFmtId="0" fontId="10" fillId="0" borderId="0" xfId="4" applyFont="1" applyFill="1" applyBorder="1" applyAlignment="1">
      <alignment vertical="center"/>
    </xf>
    <xf numFmtId="0" fontId="11" fillId="0" borderId="0" xfId="0" applyFont="1" applyFill="1" applyAlignment="1">
      <alignment wrapText="1"/>
    </xf>
    <xf numFmtId="0" fontId="11" fillId="0" borderId="0" xfId="0" applyFont="1" applyFill="1" applyAlignment="1"/>
    <xf numFmtId="0" fontId="11" fillId="0" borderId="0" xfId="0" applyFont="1" applyAlignment="1"/>
    <xf numFmtId="0" fontId="9" fillId="0" borderId="4"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6" fillId="0" borderId="0" xfId="0" applyFont="1" applyBorder="1"/>
    <xf numFmtId="0" fontId="1" fillId="0" borderId="0" xfId="0" applyFont="1" applyBorder="1" applyAlignment="1">
      <alignment horizontal="center" vertical="center" wrapText="1"/>
    </xf>
    <xf numFmtId="49" fontId="0" fillId="0" borderId="0" xfId="0" applyNumberFormat="1" applyBorder="1" applyAlignment="1">
      <alignment horizontal="center"/>
    </xf>
    <xf numFmtId="41" fontId="0" fillId="0" borderId="0" xfId="0" applyNumberFormat="1" applyBorder="1" applyAlignment="1">
      <alignment horizontal="right"/>
    </xf>
    <xf numFmtId="0" fontId="0" fillId="0" borderId="0" xfId="0" applyBorder="1" applyAlignment="1">
      <alignment wrapText="1"/>
    </xf>
    <xf numFmtId="0" fontId="0" fillId="0" borderId="0" xfId="0" applyBorder="1" applyAlignment="1">
      <alignment horizontal="left"/>
    </xf>
    <xf numFmtId="0" fontId="1" fillId="0" borderId="0" xfId="0" applyFont="1" applyBorder="1" applyAlignment="1">
      <alignment horizontal="center" vertical="center" wrapText="1"/>
    </xf>
    <xf numFmtId="0" fontId="11"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horizontal="left" wrapText="1"/>
    </xf>
    <xf numFmtId="0" fontId="0" fillId="0" borderId="0" xfId="0" applyAlignment="1"/>
    <xf numFmtId="0" fontId="11" fillId="0" borderId="0" xfId="0" applyFont="1" applyBorder="1"/>
    <xf numFmtId="0" fontId="14" fillId="0" borderId="7" xfId="0" applyFont="1" applyBorder="1"/>
    <xf numFmtId="0" fontId="9" fillId="0" borderId="0" xfId="4" applyFont="1" applyBorder="1"/>
    <xf numFmtId="0" fontId="11" fillId="0" borderId="0" xfId="0" applyFont="1" applyFill="1" applyAlignment="1">
      <alignment horizontal="left"/>
    </xf>
    <xf numFmtId="9" fontId="11" fillId="0" borderId="0" xfId="2" applyFont="1" applyFill="1" applyAlignment="1">
      <alignment horizontal="left"/>
    </xf>
    <xf numFmtId="9" fontId="11" fillId="0" borderId="0" xfId="0" applyNumberFormat="1" applyFont="1" applyFill="1" applyAlignment="1">
      <alignment horizontal="left"/>
    </xf>
    <xf numFmtId="0" fontId="0" fillId="0" borderId="0" xfId="0" applyAlignment="1">
      <alignment horizontal="left"/>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9" fontId="0" fillId="0" borderId="0" xfId="0" applyNumberFormat="1" applyAlignment="1">
      <alignment horizontal="right"/>
    </xf>
    <xf numFmtId="1" fontId="0" fillId="0" borderId="0" xfId="0" applyNumberFormat="1" applyAlignment="1">
      <alignment horizontal="right"/>
    </xf>
    <xf numFmtId="9" fontId="10" fillId="0" borderId="11" xfId="0" applyNumberFormat="1" applyFont="1" applyFill="1" applyBorder="1"/>
    <xf numFmtId="0" fontId="1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1" fillId="0" borderId="0" xfId="0" applyFont="1" applyAlignment="1">
      <alignment horizontal="left"/>
    </xf>
    <xf numFmtId="49" fontId="15" fillId="0" borderId="0" xfId="0" applyNumberFormat="1" applyFont="1" applyFill="1" applyAlignment="1">
      <alignment horizontal="left"/>
    </xf>
    <xf numFmtId="0" fontId="10" fillId="0" borderId="0" xfId="4" applyFont="1" applyFill="1" applyBorder="1" applyAlignment="1"/>
    <xf numFmtId="49" fontId="15" fillId="0" borderId="0" xfId="0" applyNumberFormat="1" applyFont="1" applyFill="1" applyBorder="1" applyAlignment="1">
      <alignment horizontal="left"/>
    </xf>
    <xf numFmtId="0" fontId="10" fillId="0" borderId="0" xfId="0" applyFont="1" applyFill="1" applyBorder="1"/>
    <xf numFmtId="49" fontId="9" fillId="0" borderId="0" xfId="0" applyNumberFormat="1" applyFont="1" applyFill="1" applyBorder="1" applyAlignment="1">
      <alignment horizontal="left"/>
    </xf>
    <xf numFmtId="0" fontId="9" fillId="0" borderId="0" xfId="4" applyFont="1" applyFill="1" applyBorder="1" applyAlignment="1"/>
    <xf numFmtId="49" fontId="9" fillId="0" borderId="0" xfId="0" applyNumberFormat="1" applyFont="1" applyFill="1" applyBorder="1"/>
    <xf numFmtId="0" fontId="9" fillId="0" borderId="16" xfId="0" applyFont="1" applyFill="1" applyBorder="1" applyAlignment="1">
      <alignment horizontal="center" vertical="center" wrapText="1"/>
    </xf>
    <xf numFmtId="0" fontId="11" fillId="0" borderId="0" xfId="0" applyFont="1" applyFill="1"/>
    <xf numFmtId="49" fontId="9" fillId="0" borderId="5" xfId="0" applyNumberFormat="1" applyFont="1" applyFill="1" applyBorder="1" applyAlignment="1">
      <alignment horizontal="left" vertical="center" wrapText="1"/>
    </xf>
    <xf numFmtId="0" fontId="9" fillId="0" borderId="3" xfId="0" applyNumberFormat="1"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9" fillId="0" borderId="17" xfId="0" applyFont="1" applyBorder="1" applyAlignment="1">
      <alignment horizontal="center" vertical="center" wrapText="1"/>
    </xf>
    <xf numFmtId="9" fontId="9" fillId="0" borderId="3" xfId="0" applyNumberFormat="1" applyFont="1" applyFill="1" applyBorder="1"/>
    <xf numFmtId="9" fontId="9" fillId="0" borderId="1" xfId="0" applyNumberFormat="1" applyFont="1" applyFill="1" applyBorder="1"/>
    <xf numFmtId="9" fontId="10" fillId="0" borderId="8" xfId="0" applyNumberFormat="1" applyFont="1" applyFill="1" applyBorder="1"/>
    <xf numFmtId="43" fontId="10" fillId="0" borderId="0" xfId="1" applyFont="1" applyFill="1" applyBorder="1"/>
    <xf numFmtId="164" fontId="0" fillId="0" borderId="0" xfId="2" applyNumberFormat="1" applyFont="1"/>
    <xf numFmtId="1" fontId="0" fillId="0" borderId="0" xfId="0" applyNumberFormat="1"/>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49" fontId="15" fillId="0" borderId="22" xfId="0" applyNumberFormat="1" applyFont="1" applyFill="1" applyBorder="1" applyAlignment="1">
      <alignment horizontal="left"/>
    </xf>
    <xf numFmtId="9" fontId="10" fillId="0" borderId="23" xfId="0" applyNumberFormat="1" applyFont="1" applyFill="1" applyBorder="1"/>
    <xf numFmtId="0" fontId="1" fillId="0" borderId="0" xfId="0" applyFont="1" applyBorder="1" applyAlignment="1">
      <alignment horizontal="center" vertical="center" wrapText="1"/>
    </xf>
    <xf numFmtId="0" fontId="11" fillId="0" borderId="0" xfId="0" applyFont="1" applyAlignment="1">
      <alignment horizontal="left"/>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6" fillId="0" borderId="4" xfId="0" applyFont="1" applyBorder="1"/>
    <xf numFmtId="9" fontId="10" fillId="0" borderId="11" xfId="0" applyNumberFormat="1" applyFont="1" applyFill="1" applyBorder="1" applyAlignment="1">
      <alignment horizontal="right"/>
    </xf>
    <xf numFmtId="9" fontId="10" fillId="0" borderId="2" xfId="0" applyNumberFormat="1" applyFont="1" applyFill="1" applyBorder="1"/>
    <xf numFmtId="165" fontId="10" fillId="0" borderId="11" xfId="1" applyNumberFormat="1" applyFont="1" applyFill="1" applyBorder="1"/>
    <xf numFmtId="165" fontId="9" fillId="0" borderId="3" xfId="1" applyNumberFormat="1" applyFont="1" applyFill="1" applyBorder="1"/>
    <xf numFmtId="165" fontId="9" fillId="0" borderId="1" xfId="1" applyNumberFormat="1" applyFont="1" applyFill="1" applyBorder="1"/>
    <xf numFmtId="9" fontId="9" fillId="0" borderId="1" xfId="0" applyNumberFormat="1" applyFont="1" applyFill="1" applyBorder="1" applyAlignment="1">
      <alignment horizontal="right"/>
    </xf>
    <xf numFmtId="9" fontId="9" fillId="0" borderId="3" xfId="0" applyNumberFormat="1" applyFont="1" applyFill="1" applyBorder="1" applyAlignment="1">
      <alignment horizontal="right"/>
    </xf>
    <xf numFmtId="0" fontId="1" fillId="0" borderId="0" xfId="0" applyFont="1" applyBorder="1"/>
    <xf numFmtId="0" fontId="11" fillId="0" borderId="25" xfId="0" applyFont="1" applyBorder="1"/>
    <xf numFmtId="0" fontId="9" fillId="0" borderId="4" xfId="0" applyFont="1" applyFill="1" applyBorder="1" applyAlignment="1">
      <alignment horizontal="left" vertical="center"/>
    </xf>
    <xf numFmtId="0" fontId="9" fillId="0" borderId="5" xfId="0" applyFont="1" applyFill="1" applyBorder="1" applyAlignment="1">
      <alignment horizontal="right" vertical="center" wrapText="1"/>
    </xf>
    <xf numFmtId="165" fontId="9" fillId="0" borderId="26" xfId="1" applyNumberFormat="1" applyFont="1" applyFill="1" applyBorder="1" applyAlignment="1">
      <alignment wrapText="1"/>
    </xf>
    <xf numFmtId="165" fontId="10" fillId="0" borderId="27" xfId="1" applyNumberFormat="1" applyFont="1" applyFill="1" applyBorder="1" applyAlignment="1">
      <alignment wrapText="1"/>
    </xf>
    <xf numFmtId="0" fontId="9" fillId="0" borderId="28" xfId="0" applyFont="1" applyFill="1" applyBorder="1" applyAlignment="1">
      <alignment horizontal="center" vertical="center" wrapText="1"/>
    </xf>
    <xf numFmtId="0" fontId="9" fillId="0" borderId="27" xfId="0" applyFont="1" applyFill="1" applyBorder="1" applyAlignment="1">
      <alignment horizontal="center" vertical="center" wrapText="1"/>
    </xf>
    <xf numFmtId="9" fontId="10" fillId="0" borderId="29" xfId="0" applyNumberFormat="1" applyFont="1" applyFill="1" applyBorder="1"/>
    <xf numFmtId="9" fontId="9" fillId="0" borderId="26" xfId="0" applyNumberFormat="1" applyFont="1" applyFill="1" applyBorder="1"/>
    <xf numFmtId="166" fontId="0" fillId="0" borderId="0" xfId="0" applyNumberFormat="1"/>
    <xf numFmtId="0" fontId="11" fillId="0" borderId="0" xfId="0" applyFont="1" applyFill="1" applyAlignment="1">
      <alignment horizontal="left" wrapText="1"/>
    </xf>
    <xf numFmtId="165" fontId="9" fillId="0" borderId="1" xfId="1" applyNumberFormat="1" applyFont="1" applyFill="1" applyBorder="1" applyAlignment="1">
      <alignment horizontal="right"/>
    </xf>
    <xf numFmtId="164" fontId="9" fillId="0" borderId="1" xfId="0" applyNumberFormat="1" applyFont="1" applyFill="1" applyBorder="1" applyAlignment="1">
      <alignment horizontal="right"/>
    </xf>
    <xf numFmtId="9" fontId="9" fillId="0" borderId="12" xfId="0" applyNumberFormat="1" applyFont="1" applyFill="1" applyBorder="1" applyAlignment="1">
      <alignment horizontal="right"/>
    </xf>
    <xf numFmtId="0" fontId="11" fillId="0" borderId="0" xfId="0" applyFont="1" applyAlignment="1">
      <alignment horizontal="right"/>
    </xf>
    <xf numFmtId="165" fontId="10" fillId="0" borderId="11" xfId="1" applyNumberFormat="1" applyFont="1" applyFill="1" applyBorder="1" applyAlignment="1">
      <alignment horizontal="right"/>
    </xf>
    <xf numFmtId="165" fontId="10" fillId="0" borderId="0" xfId="1" applyNumberFormat="1" applyFont="1" applyFill="1" applyBorder="1" applyAlignment="1">
      <alignment horizontal="right"/>
    </xf>
    <xf numFmtId="165" fontId="10" fillId="0" borderId="19" xfId="1" applyNumberFormat="1" applyFont="1" applyFill="1" applyBorder="1" applyAlignment="1">
      <alignment horizontal="right"/>
    </xf>
    <xf numFmtId="165" fontId="10" fillId="0" borderId="8" xfId="1" applyNumberFormat="1" applyFont="1" applyFill="1" applyBorder="1" applyAlignment="1">
      <alignment horizontal="right"/>
    </xf>
    <xf numFmtId="0" fontId="11" fillId="0" borderId="7" xfId="0" applyFont="1" applyBorder="1" applyAlignment="1">
      <alignment horizontal="right"/>
    </xf>
    <xf numFmtId="165" fontId="10" fillId="0" borderId="6" xfId="1" applyNumberFormat="1" applyFont="1" applyFill="1" applyBorder="1" applyAlignment="1">
      <alignment horizontal="right"/>
    </xf>
    <xf numFmtId="9" fontId="10" fillId="0" borderId="19" xfId="0" applyNumberFormat="1" applyFont="1" applyFill="1" applyBorder="1" applyAlignment="1">
      <alignment horizontal="right"/>
    </xf>
    <xf numFmtId="9" fontId="10" fillId="0" borderId="8" xfId="0" applyNumberFormat="1" applyFont="1" applyFill="1" applyBorder="1" applyAlignment="1">
      <alignment horizontal="right"/>
    </xf>
    <xf numFmtId="164" fontId="10" fillId="0" borderId="8" xfId="0" applyNumberFormat="1" applyFont="1" applyFill="1" applyBorder="1" applyAlignment="1">
      <alignment horizontal="right"/>
    </xf>
    <xf numFmtId="0" fontId="11" fillId="0" borderId="8" xfId="0" applyFont="1" applyBorder="1" applyAlignment="1">
      <alignment horizontal="right"/>
    </xf>
    <xf numFmtId="165" fontId="9" fillId="0" borderId="4" xfId="1" applyNumberFormat="1" applyFont="1" applyFill="1" applyBorder="1" applyAlignment="1">
      <alignment horizontal="right"/>
    </xf>
    <xf numFmtId="49" fontId="10" fillId="0" borderId="7" xfId="0" applyNumberFormat="1" applyFont="1" applyFill="1" applyBorder="1" applyAlignment="1">
      <alignment horizontal="left"/>
    </xf>
    <xf numFmtId="1" fontId="11" fillId="0" borderId="7" xfId="2" applyNumberFormat="1" applyFont="1" applyFill="1" applyBorder="1" applyAlignment="1">
      <alignment horizontal="left"/>
    </xf>
    <xf numFmtId="1" fontId="11" fillId="0" borderId="7" xfId="2" applyNumberFormat="1" applyFont="1" applyBorder="1" applyAlignment="1">
      <alignment horizontal="left"/>
    </xf>
    <xf numFmtId="49" fontId="10" fillId="0" borderId="7" xfId="0" applyNumberFormat="1" applyFont="1" applyFill="1" applyBorder="1"/>
    <xf numFmtId="165" fontId="10" fillId="0" borderId="11" xfId="1" applyNumberFormat="1" applyFont="1" applyFill="1" applyBorder="1" applyAlignment="1">
      <alignment horizontal="center"/>
    </xf>
    <xf numFmtId="0" fontId="6" fillId="0" borderId="5" xfId="0" applyFont="1" applyBorder="1"/>
    <xf numFmtId="0" fontId="6" fillId="0" borderId="3" xfId="0" applyFont="1" applyBorder="1"/>
    <xf numFmtId="165" fontId="10" fillId="0" borderId="0" xfId="1" applyNumberFormat="1" applyFont="1" applyFill="1" applyBorder="1"/>
    <xf numFmtId="0" fontId="11" fillId="0" borderId="7" xfId="0" applyFont="1" applyFill="1" applyBorder="1"/>
    <xf numFmtId="0" fontId="9" fillId="0" borderId="30" xfId="0" applyFont="1" applyFill="1" applyBorder="1" applyAlignment="1">
      <alignment horizontal="left" vertical="center"/>
    </xf>
    <xf numFmtId="0" fontId="0" fillId="0" borderId="0" xfId="0" applyAlignment="1">
      <alignment wrapText="1"/>
    </xf>
    <xf numFmtId="5" fontId="1" fillId="0" borderId="11" xfId="7" applyNumberFormat="1" applyFont="1" applyBorder="1"/>
    <xf numFmtId="5" fontId="2" fillId="0" borderId="11" xfId="7" applyNumberFormat="1" applyFont="1" applyBorder="1"/>
    <xf numFmtId="9" fontId="9" fillId="0" borderId="12" xfId="0" applyNumberFormat="1" applyFont="1" applyFill="1" applyBorder="1"/>
    <xf numFmtId="5" fontId="6" fillId="0" borderId="12" xfId="7" applyNumberFormat="1" applyFont="1" applyBorder="1"/>
    <xf numFmtId="5" fontId="11" fillId="0" borderId="11" xfId="7" applyNumberFormat="1" applyFont="1" applyBorder="1"/>
    <xf numFmtId="5" fontId="1" fillId="0" borderId="3" xfId="7" applyNumberFormat="1" applyFont="1" applyBorder="1"/>
    <xf numFmtId="0" fontId="7" fillId="0" borderId="0" xfId="0" applyFont="1" applyFill="1"/>
    <xf numFmtId="165" fontId="9" fillId="0" borderId="3" xfId="1" applyNumberFormat="1" applyFont="1" applyFill="1" applyBorder="1" applyAlignment="1">
      <alignment horizontal="right"/>
    </xf>
    <xf numFmtId="0" fontId="9" fillId="0" borderId="3" xfId="0" applyFont="1" applyFill="1" applyBorder="1" applyAlignment="1">
      <alignment horizontal="right" vertical="center" wrapText="1"/>
    </xf>
    <xf numFmtId="165" fontId="10" fillId="0" borderId="9" xfId="1" applyNumberFormat="1" applyFont="1" applyFill="1" applyBorder="1" applyAlignment="1">
      <alignment horizontal="right"/>
    </xf>
    <xf numFmtId="0" fontId="11" fillId="0" borderId="11" xfId="0" applyFont="1" applyBorder="1" applyAlignment="1">
      <alignment horizontal="right"/>
    </xf>
    <xf numFmtId="165" fontId="9" fillId="0" borderId="18" xfId="1" applyNumberFormat="1" applyFont="1" applyFill="1" applyBorder="1" applyAlignment="1">
      <alignment horizontal="right"/>
    </xf>
    <xf numFmtId="5" fontId="6" fillId="0" borderId="2" xfId="7" applyNumberFormat="1" applyFont="1" applyBorder="1"/>
    <xf numFmtId="5" fontId="6" fillId="0" borderId="8" xfId="7" applyNumberFormat="1" applyFont="1" applyBorder="1"/>
    <xf numFmtId="0" fontId="11" fillId="0" borderId="0" xfId="0" applyFont="1" applyAlignment="1">
      <alignment horizontal="left"/>
    </xf>
    <xf numFmtId="49" fontId="16" fillId="0" borderId="0" xfId="0" applyNumberFormat="1" applyFont="1" applyFill="1" applyBorder="1" applyAlignment="1"/>
    <xf numFmtId="0" fontId="11" fillId="0" borderId="0" xfId="0" applyFont="1" applyAlignment="1">
      <alignment horizontal="left"/>
    </xf>
    <xf numFmtId="0" fontId="11" fillId="0" borderId="0" xfId="0" applyFont="1" applyAlignment="1">
      <alignment horizontal="left" wrapText="1"/>
    </xf>
    <xf numFmtId="9" fontId="10" fillId="0" borderId="0" xfId="0" applyNumberFormat="1" applyFont="1" applyBorder="1" applyAlignment="1">
      <alignment horizontal="right"/>
    </xf>
    <xf numFmtId="9" fontId="10" fillId="0" borderId="0" xfId="1" applyNumberFormat="1" applyFont="1" applyFill="1" applyBorder="1" applyAlignment="1">
      <alignment horizontal="right"/>
    </xf>
    <xf numFmtId="49" fontId="0" fillId="0" borderId="0" xfId="0" applyNumberFormat="1" applyAlignment="1">
      <alignment wrapText="1"/>
    </xf>
    <xf numFmtId="49" fontId="0" fillId="0" borderId="0" xfId="0" applyNumberFormat="1" applyAlignment="1">
      <alignment vertical="top" wrapText="1"/>
    </xf>
    <xf numFmtId="165" fontId="9" fillId="0" borderId="10" xfId="1" applyNumberFormat="1" applyFont="1" applyFill="1" applyBorder="1" applyAlignment="1">
      <alignment horizontal="right"/>
    </xf>
    <xf numFmtId="165" fontId="9" fillId="0" borderId="12" xfId="1" applyNumberFormat="1" applyFont="1" applyFill="1" applyBorder="1" applyAlignment="1">
      <alignment horizontal="right"/>
    </xf>
    <xf numFmtId="165" fontId="9" fillId="0" borderId="5" xfId="1" applyNumberFormat="1" applyFont="1" applyFill="1" applyBorder="1" applyAlignment="1">
      <alignment horizontal="right"/>
    </xf>
    <xf numFmtId="165" fontId="10" fillId="0" borderId="23" xfId="1" applyNumberFormat="1" applyFont="1" applyFill="1" applyBorder="1" applyAlignment="1">
      <alignment horizontal="right"/>
    </xf>
    <xf numFmtId="9" fontId="10" fillId="0" borderId="24" xfId="0" applyNumberFormat="1" applyFont="1" applyFill="1" applyBorder="1" applyAlignment="1">
      <alignment horizontal="right"/>
    </xf>
    <xf numFmtId="49" fontId="10" fillId="0" borderId="0" xfId="0" applyNumberFormat="1" applyFont="1" applyFill="1" applyBorder="1" applyAlignment="1">
      <alignment horizontal="left"/>
    </xf>
    <xf numFmtId="49" fontId="10" fillId="0" borderId="0" xfId="0" applyNumberFormat="1" applyFont="1" applyFill="1" applyAlignment="1">
      <alignment horizontal="left"/>
    </xf>
    <xf numFmtId="49" fontId="16" fillId="0" borderId="7" xfId="0" applyNumberFormat="1" applyFont="1" applyFill="1" applyBorder="1" applyAlignment="1">
      <alignment horizontal="left"/>
    </xf>
    <xf numFmtId="9" fontId="16" fillId="0" borderId="8" xfId="0" applyNumberFormat="1" applyFont="1" applyFill="1" applyBorder="1"/>
    <xf numFmtId="165" fontId="16" fillId="0" borderId="11" xfId="1" applyNumberFormat="1" applyFont="1" applyFill="1" applyBorder="1"/>
    <xf numFmtId="9" fontId="16" fillId="0" borderId="11" xfId="0" applyNumberFormat="1" applyFont="1" applyFill="1" applyBorder="1"/>
    <xf numFmtId="49" fontId="16" fillId="0" borderId="25" xfId="0" applyNumberFormat="1" applyFont="1" applyFill="1" applyBorder="1" applyAlignment="1">
      <alignment horizontal="left"/>
    </xf>
    <xf numFmtId="0" fontId="0" fillId="0" borderId="0" xfId="0" applyAlignment="1">
      <alignment horizontal="left" vertical="top" wrapText="1"/>
    </xf>
    <xf numFmtId="9" fontId="0" fillId="0" borderId="0" xfId="0" applyNumberFormat="1" applyAlignment="1">
      <alignment horizontal="left" vertical="top" wrapText="1"/>
    </xf>
    <xf numFmtId="0" fontId="0" fillId="0" borderId="0" xfId="0" applyAlignment="1">
      <alignment horizontal="right" vertical="top" wrapText="1"/>
    </xf>
    <xf numFmtId="165" fontId="16" fillId="0" borderId="11" xfId="1" applyNumberFormat="1" applyFont="1" applyFill="1" applyBorder="1" applyAlignment="1">
      <alignment horizontal="right"/>
    </xf>
    <xf numFmtId="9" fontId="16" fillId="0" borderId="8" xfId="1" applyNumberFormat="1" applyFont="1" applyFill="1" applyBorder="1" applyAlignment="1">
      <alignment horizontal="right"/>
    </xf>
    <xf numFmtId="165" fontId="10" fillId="0" borderId="11" xfId="1" applyNumberFormat="1" applyFont="1" applyFill="1" applyBorder="1" applyAlignment="1">
      <alignment horizontal="left"/>
    </xf>
    <xf numFmtId="9" fontId="11" fillId="0" borderId="0" xfId="0" applyNumberFormat="1" applyFont="1"/>
    <xf numFmtId="0" fontId="11" fillId="0" borderId="0" xfId="0" applyFont="1" applyAlignment="1" applyProtection="1">
      <alignment horizontal="left"/>
      <protection locked="0"/>
    </xf>
    <xf numFmtId="0" fontId="0" fillId="0" borderId="0" xfId="0" applyProtection="1">
      <protection locked="0"/>
    </xf>
    <xf numFmtId="0" fontId="11" fillId="0" borderId="0" xfId="0" applyFont="1" applyAlignment="1" applyProtection="1">
      <alignment wrapText="1"/>
      <protection locked="0"/>
    </xf>
    <xf numFmtId="0" fontId="11" fillId="0" borderId="0" xfId="0" applyFont="1" applyProtection="1">
      <protection locked="0"/>
    </xf>
    <xf numFmtId="0" fontId="11" fillId="0" borderId="0" xfId="0" applyFont="1" applyAlignment="1" applyProtection="1">
      <protection locked="0"/>
    </xf>
    <xf numFmtId="0" fontId="6" fillId="0" borderId="9" xfId="0" applyFont="1" applyFill="1" applyBorder="1" applyAlignment="1">
      <alignment horizontal="center" vertical="center" wrapText="1"/>
    </xf>
    <xf numFmtId="0" fontId="6" fillId="0" borderId="6" xfId="0" applyFont="1" applyBorder="1" applyAlignment="1">
      <alignment horizontal="center" vertical="center"/>
    </xf>
    <xf numFmtId="0" fontId="11" fillId="0" borderId="0" xfId="0" applyFont="1" applyAlignment="1">
      <alignment horizontal="left"/>
    </xf>
    <xf numFmtId="5" fontId="9" fillId="0" borderId="11" xfId="7" applyNumberFormat="1" applyFont="1" applyFill="1" applyBorder="1"/>
    <xf numFmtId="5" fontId="10" fillId="0" borderId="11" xfId="7" applyNumberFormat="1" applyFont="1" applyFill="1" applyBorder="1"/>
    <xf numFmtId="9" fontId="10" fillId="0" borderId="29" xfId="1" applyNumberFormat="1" applyFont="1" applyFill="1" applyBorder="1" applyAlignment="1">
      <alignment horizontal="right"/>
    </xf>
    <xf numFmtId="165" fontId="0" fillId="0" borderId="0" xfId="0" applyNumberFormat="1"/>
    <xf numFmtId="0" fontId="9" fillId="0" borderId="10"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6" fillId="0" borderId="9" xfId="0" applyFont="1" applyFill="1" applyBorder="1" applyAlignment="1">
      <alignment horizontal="center" wrapText="1"/>
    </xf>
    <xf numFmtId="9" fontId="0" fillId="0" borderId="0" xfId="0" applyNumberFormat="1"/>
    <xf numFmtId="0" fontId="0" fillId="0" borderId="8" xfId="0" applyFill="1" applyBorder="1"/>
    <xf numFmtId="0" fontId="0" fillId="0" borderId="8" xfId="0" applyBorder="1"/>
    <xf numFmtId="164" fontId="10" fillId="0" borderId="19" xfId="0" applyNumberFormat="1" applyFont="1" applyFill="1" applyBorder="1" applyAlignment="1">
      <alignment horizontal="right"/>
    </xf>
    <xf numFmtId="0" fontId="11" fillId="0" borderId="19" xfId="0" applyFont="1" applyBorder="1" applyAlignment="1">
      <alignment horizontal="right"/>
    </xf>
    <xf numFmtId="5" fontId="6" fillId="0" borderId="11" xfId="7" applyNumberFormat="1" applyFont="1" applyBorder="1"/>
    <xf numFmtId="5" fontId="6" fillId="0" borderId="23" xfId="7" applyNumberFormat="1" applyFont="1" applyBorder="1"/>
    <xf numFmtId="5" fontId="11" fillId="0" borderId="23" xfId="7" applyNumberFormat="1" applyFont="1" applyBorder="1"/>
    <xf numFmtId="9" fontId="16" fillId="0" borderId="11" xfId="0" applyNumberFormat="1" applyFont="1" applyFill="1" applyBorder="1" applyAlignment="1">
      <alignment horizontal="right"/>
    </xf>
    <xf numFmtId="165" fontId="16" fillId="0" borderId="0" xfId="1" applyNumberFormat="1" applyFont="1" applyFill="1" applyBorder="1" applyAlignment="1">
      <alignment horizontal="right"/>
    </xf>
    <xf numFmtId="0" fontId="10" fillId="0" borderId="0" xfId="4" applyFont="1" applyFill="1" applyBorder="1" applyAlignment="1" applyProtection="1">
      <protection locked="0"/>
    </xf>
    <xf numFmtId="0" fontId="8" fillId="0" borderId="0" xfId="4" applyFont="1" applyFill="1" applyBorder="1" applyAlignment="1" applyProtection="1">
      <protection locked="0"/>
    </xf>
    <xf numFmtId="0" fontId="1" fillId="0" borderId="0" xfId="0" applyFont="1" applyProtection="1">
      <protection locked="0"/>
    </xf>
    <xf numFmtId="0" fontId="17" fillId="0" borderId="0" xfId="3" applyFont="1"/>
    <xf numFmtId="0" fontId="17" fillId="0" borderId="0" xfId="3" applyFont="1" applyFill="1"/>
    <xf numFmtId="0" fontId="17" fillId="0" borderId="0" xfId="3" quotePrefix="1" applyFont="1"/>
    <xf numFmtId="165" fontId="10" fillId="0" borderId="23" xfId="1" applyNumberFormat="1" applyFont="1" applyFill="1" applyBorder="1"/>
    <xf numFmtId="0" fontId="6" fillId="0" borderId="31" xfId="0" applyFont="1" applyBorder="1"/>
    <xf numFmtId="0" fontId="6" fillId="0" borderId="32" xfId="0" applyFont="1" applyBorder="1"/>
    <xf numFmtId="0" fontId="11" fillId="0" borderId="8" xfId="0" applyFont="1" applyBorder="1"/>
    <xf numFmtId="0" fontId="11" fillId="0" borderId="8" xfId="0" applyFont="1" applyFill="1" applyBorder="1"/>
    <xf numFmtId="0" fontId="18" fillId="0" borderId="0" xfId="0" applyFont="1"/>
    <xf numFmtId="0" fontId="11" fillId="0" borderId="0" xfId="0" applyFont="1" applyAlignment="1">
      <alignment vertical="center" wrapText="1"/>
    </xf>
    <xf numFmtId="0" fontId="0" fillId="0" borderId="0" xfId="0" applyAlignment="1">
      <alignment vertical="top" wrapText="1"/>
    </xf>
    <xf numFmtId="9" fontId="0" fillId="0" borderId="0" xfId="0" applyNumberFormat="1" applyAlignment="1">
      <alignment vertical="top" wrapText="1"/>
    </xf>
    <xf numFmtId="0" fontId="1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center"/>
    </xf>
    <xf numFmtId="49" fontId="0" fillId="0" borderId="0" xfId="0" applyNumberFormat="1" applyBorder="1" applyAlignment="1">
      <alignment horizontal="center" vertical="center"/>
    </xf>
    <xf numFmtId="0" fontId="0" fillId="0" borderId="0" xfId="0" applyBorder="1" applyAlignment="1">
      <alignment horizontal="center" vertical="center"/>
    </xf>
  </cellXfs>
  <cellStyles count="9">
    <cellStyle name="Comma" xfId="1" builtinId="3"/>
    <cellStyle name="Comma 2" xfId="5"/>
    <cellStyle name="Currency" xfId="7" builtinId="4"/>
    <cellStyle name="Currency 2" xfId="6"/>
    <cellStyle name="Currency 3" xfId="8"/>
    <cellStyle name="Heading 1" xfId="4" builtinId="16"/>
    <cellStyle name="Hyperlink" xfId="3" builtinId="8"/>
    <cellStyle name="Normal" xfId="0" builtinId="0"/>
    <cellStyle name="Percent" xfId="2" builtinId="5"/>
  </cellStyles>
  <dxfs count="2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auto="1"/>
        </top>
        <bottom style="thin">
          <color auto="1"/>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fill>
        <patternFill patternType="none">
          <fgColor indexed="64"/>
          <bgColor auto="1"/>
        </patternFill>
      </fill>
      <alignment horizontal="right" textRotation="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fill>
        <patternFill patternType="none">
          <fgColor indexed="64"/>
          <bgColor auto="1"/>
        </patternFill>
      </fill>
      <alignment horizontal="right" textRotation="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textRotation="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textRotation="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textRotation="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textRotation="0" indent="0" justifyLastLine="0" shrinkToFit="0" readingOrder="0"/>
    </dxf>
    <dxf>
      <font>
        <strike val="0"/>
        <outline val="0"/>
        <shadow val="0"/>
        <u val="none"/>
        <vertAlign val="baseline"/>
        <sz val="12"/>
        <color auto="1"/>
        <name val="Calibri"/>
        <scheme val="minor"/>
      </font>
      <numFmt numFmtId="30" formatCode="@"/>
      <fill>
        <patternFill patternType="none">
          <fgColor indexed="64"/>
          <bgColor auto="1"/>
        </patternFill>
      </fill>
      <alignment horizontal="left" textRotation="0" wrapText="0" indent="0" justifyLastLine="0" shrinkToFit="0" readingOrder="0"/>
      <border outline="0">
        <right style="thin">
          <color indexed="64"/>
        </right>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alignment horizontal="right" textRotation="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outline="0">
        <right style="thin">
          <color indexed="64"/>
        </right>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alignment horizontal="center" textRotation="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30" formatCode="@"/>
      <fill>
        <patternFill patternType="none">
          <fgColor indexed="64"/>
          <bgColor auto="1"/>
        </patternFill>
      </fill>
      <border outline="0">
        <right style="thin">
          <color indexed="64"/>
        </right>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9" formatCode="&quot;£&quot;#,##0;\-&quot;£&quot;#,##0"/>
      <fill>
        <patternFill patternType="none">
          <fgColor indexed="64"/>
          <bgColor auto="1"/>
        </patternFill>
      </fill>
      <border diagonalUp="0" diagonalDown="0">
        <left style="thin">
          <color indexed="64"/>
        </left>
        <right style="thin">
          <color indexed="64"/>
        </right>
        <top style="thin">
          <color auto="1"/>
        </top>
        <bottom style="thin">
          <color auto="1"/>
        </bottom>
        <vertical/>
        <horizontal style="thin">
          <color auto="1"/>
        </horizontal>
      </border>
    </dxf>
    <dxf>
      <font>
        <strike val="0"/>
        <outline val="0"/>
        <shadow val="0"/>
        <u val="none"/>
        <vertAlign val="baseline"/>
        <sz val="12"/>
        <color theme="1"/>
        <name val="Calibri"/>
        <scheme val="minor"/>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ck">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ck">
          <color indexed="64"/>
        </right>
        <top style="thin">
          <color auto="1"/>
        </top>
        <bottom style="thin">
          <color auto="1"/>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0" formatCode="@"/>
      <fill>
        <patternFill patternType="none">
          <fgColor indexed="64"/>
          <bgColor auto="1"/>
        </patternFill>
      </fill>
      <border outline="0">
        <right style="thin">
          <color indexed="64"/>
        </right>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Calibri"/>
        <scheme val="minor"/>
      </font>
      <fill>
        <patternFill patternType="none">
          <fgColor rgb="FF000000"/>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rgb="FF000000"/>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rgb="FF000000"/>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outline="0">
        <right style="thin">
          <color indexed="64"/>
        </right>
      </border>
    </dxf>
    <dxf>
      <font>
        <b val="0"/>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indexed="65"/>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right style="thin">
          <color indexed="64"/>
        </right>
        <top/>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scheme val="none"/>
      </font>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indexed="65"/>
        </patternFill>
      </fill>
      <border outline="0">
        <right style="thin">
          <color indexed="64"/>
        </right>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numFmt numFmtId="0" formatCode="General"/>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2"/>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fill>
        <patternFill patternType="none">
          <fgColor indexed="64"/>
          <bgColor auto="1"/>
        </patternFill>
      </fill>
      <border outline="0">
        <right style="thin">
          <color indexed="64"/>
        </right>
      </border>
    </dxf>
    <dxf>
      <font>
        <strike val="0"/>
        <outline val="0"/>
        <shadow val="0"/>
        <u val="none"/>
        <vertAlign val="baseline"/>
        <sz val="12"/>
        <color auto="1"/>
        <name val="Calibri"/>
        <scheme val="minor"/>
      </font>
      <numFmt numFmtId="167" formatCode="_-[$£-809]* #,##0_-;\-[$£-809]* #,##0_-;_-[$£-809]* &quot;-&quot;??_-;_-@_-"/>
      <fill>
        <patternFill patternType="none">
          <fgColor indexed="64"/>
          <bgColor auto="1"/>
        </patternFill>
      </fill>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border outline="0">
        <right style="thin">
          <color indexed="64"/>
        </right>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ertAlign val="baseline"/>
        <sz val="12"/>
        <color theme="10"/>
        <name val="Calibri"/>
        <scheme val="minor"/>
      </font>
    </dxf>
    <dxf>
      <border outline="0">
        <top style="thin">
          <color theme="1"/>
        </top>
      </border>
    </dxf>
    <dxf>
      <border outline="0">
        <bottom style="thin">
          <color theme="1"/>
        </bottom>
      </border>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colors>
    <mruColors>
      <color rgb="FFB4A9D4"/>
      <color rgb="FFE7B8D2"/>
      <color rgb="FF201751"/>
      <color rgb="FFE6007E"/>
      <color rgb="FF756A93"/>
      <color rgb="FF251B5B"/>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3</xdr:row>
      <xdr:rowOff>12700</xdr:rowOff>
    </xdr:from>
    <xdr:to>
      <xdr:col>17</xdr:col>
      <xdr:colOff>469259</xdr:colOff>
      <xdr:row>41</xdr:row>
      <xdr:rowOff>89534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700" y="1282700"/>
          <a:ext cx="16052159" cy="7315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408391</xdr:colOff>
      <xdr:row>33</xdr:row>
      <xdr:rowOff>127000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485900"/>
          <a:ext cx="11254191" cy="588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11</xdr:col>
      <xdr:colOff>595620</xdr:colOff>
      <xdr:row>43</xdr:row>
      <xdr:rowOff>36226</xdr:rowOff>
    </xdr:to>
    <xdr:pic>
      <xdr:nvPicPr>
        <xdr:cNvPr id="39" name="Picture 38"/>
        <xdr:cNvPicPr>
          <a:picLocks noChangeAspect="1"/>
        </xdr:cNvPicPr>
      </xdr:nvPicPr>
      <xdr:blipFill>
        <a:blip xmlns:r="http://schemas.openxmlformats.org/officeDocument/2006/relationships" r:embed="rId1"/>
        <a:stretch>
          <a:fillRect/>
        </a:stretch>
      </xdr:blipFill>
      <xdr:spPr>
        <a:xfrm>
          <a:off x="0" y="1333500"/>
          <a:ext cx="14540220" cy="76816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8629\AppData\Local\Microsoft\Windows\INetCache\Content.Outlook\VFWMQ5WR\210630%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IR"/>
      <sheetName val="RDIR(STATS)"/>
      <sheetName val="RDIR(VSTATS)"/>
      <sheetName val="APPEAL"/>
      <sheetName val="APPEAL(STATS)"/>
      <sheetName val="Sheet1"/>
      <sheetName val="DATA"/>
      <sheetName val="DATAYRS"/>
    </sheetNames>
    <sheetDataSet>
      <sheetData sheetId="0"/>
      <sheetData sheetId="1"/>
      <sheetData sheetId="2"/>
      <sheetData sheetId="3"/>
      <sheetData sheetId="4"/>
      <sheetData sheetId="5"/>
      <sheetData sheetId="6">
        <row r="2">
          <cell r="D2" t="str">
            <v>BSG</v>
          </cell>
          <cell r="K2">
            <v>43459</v>
          </cell>
          <cell r="W2" t="str">
            <v>Allowed</v>
          </cell>
        </row>
        <row r="3">
          <cell r="D3" t="str">
            <v>BSF</v>
          </cell>
          <cell r="K3">
            <v>43460</v>
          </cell>
          <cell r="W3" t="str">
            <v>Partially Allowed</v>
          </cell>
        </row>
        <row r="4">
          <cell r="D4" t="str">
            <v>FSP</v>
          </cell>
          <cell r="K4">
            <v>43466</v>
          </cell>
          <cell r="W4" t="str">
            <v>Disallowed</v>
          </cell>
        </row>
        <row r="5">
          <cell r="D5" t="str">
            <v>YCG</v>
          </cell>
          <cell r="K5">
            <v>43467</v>
          </cell>
          <cell r="W5" t="str">
            <v>Withdrawn</v>
          </cell>
        </row>
        <row r="6">
          <cell r="D6" t="str">
            <v>JSP</v>
          </cell>
          <cell r="K6">
            <v>43574</v>
          </cell>
          <cell r="W6" t="str">
            <v>Invalid</v>
          </cell>
        </row>
        <row r="7">
          <cell r="D7" t="str">
            <v>CWHA</v>
          </cell>
          <cell r="K7">
            <v>43577</v>
          </cell>
        </row>
        <row r="8">
          <cell r="D8" t="str">
            <v>SCP</v>
          </cell>
          <cell r="K8">
            <v>43591</v>
          </cell>
        </row>
        <row r="9">
          <cell r="K9">
            <v>43612</v>
          </cell>
        </row>
        <row r="10">
          <cell r="K10">
            <v>43798</v>
          </cell>
        </row>
        <row r="11">
          <cell r="K11">
            <v>43824</v>
          </cell>
        </row>
        <row r="12">
          <cell r="K12">
            <v>43825</v>
          </cell>
        </row>
        <row r="13">
          <cell r="K13">
            <v>43831</v>
          </cell>
        </row>
        <row r="14">
          <cell r="K14">
            <v>43832</v>
          </cell>
        </row>
        <row r="15">
          <cell r="K15">
            <v>43931</v>
          </cell>
        </row>
        <row r="16">
          <cell r="K16">
            <v>43934</v>
          </cell>
        </row>
        <row r="17">
          <cell r="K17">
            <v>43959</v>
          </cell>
        </row>
        <row r="18">
          <cell r="K18">
            <v>43976</v>
          </cell>
        </row>
        <row r="19">
          <cell r="K19">
            <v>44162</v>
          </cell>
        </row>
        <row r="20">
          <cell r="K20">
            <v>44190</v>
          </cell>
        </row>
        <row r="21">
          <cell r="K21">
            <v>44193</v>
          </cell>
        </row>
        <row r="22">
          <cell r="K22">
            <v>44197</v>
          </cell>
        </row>
        <row r="23">
          <cell r="K23">
            <v>44200</v>
          </cell>
        </row>
        <row r="24">
          <cell r="K24">
            <v>44288</v>
          </cell>
        </row>
        <row r="25">
          <cell r="K25">
            <v>44291</v>
          </cell>
        </row>
        <row r="26">
          <cell r="K26">
            <v>44319</v>
          </cell>
        </row>
        <row r="27">
          <cell r="K27">
            <v>44347</v>
          </cell>
        </row>
        <row r="28">
          <cell r="K28">
            <v>44526</v>
          </cell>
        </row>
        <row r="29">
          <cell r="K29">
            <v>44557</v>
          </cell>
        </row>
        <row r="30">
          <cell r="K30">
            <v>44558</v>
          </cell>
        </row>
        <row r="31">
          <cell r="K31">
            <v>44564</v>
          </cell>
        </row>
        <row r="32">
          <cell r="K32">
            <v>44565</v>
          </cell>
        </row>
      </sheetData>
      <sheetData sheetId="7"/>
    </sheetDataSet>
  </externalBook>
</externalLink>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14" unboundColumnsRight="1">
    <queryTableFields count="9">
      <queryTableField id="1" name="Application Channel" tableColumnId="15"/>
      <queryTableField id="2" name="Total" tableColumnId="16"/>
      <queryTableField id="3" name="Online" tableColumnId="17"/>
      <queryTableField id="4" name="Paper [note 1]" tableColumnId="18"/>
      <queryTableField id="5" name="Phone [note 1][note2]" tableColumnId="19"/>
      <queryTableField id="11" dataBound="0" tableColumnId="1"/>
      <queryTableField id="6" name="Unknown [note 3]" tableColumnId="20"/>
      <queryTableField id="7" name="% Online" tableColumnId="21"/>
      <queryTableField id="12" dataBound="0" tableColumnId="2"/>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Contents" displayName="Contents" ref="A3:B28" totalsRowShown="0" headerRowDxfId="231" headerRowBorderDxfId="230" tableBorderDxfId="229">
  <autoFilter ref="A3:B28">
    <filterColumn colId="0" hiddenButton="1"/>
    <filterColumn colId="1" hiddenButton="1"/>
  </autoFilter>
  <tableColumns count="2">
    <tableColumn id="1" name="Table or Chart Number" dataDxfId="228" dataCellStyle="Hyperlink"/>
    <tableColumn id="2" name="Table or Chart Description " dataDxfId="227"/>
  </tableColumns>
  <tableStyleInfo name="TableStyleLight1" showFirstColumn="0" showLastColumn="0" showRowStripes="0" showColumnStripes="0"/>
</table>
</file>

<file path=xl/tables/table10.xml><?xml version="1.0" encoding="utf-8"?>
<table xmlns="http://schemas.openxmlformats.org/spreadsheetml/2006/main" id="12" name="Table9" displayName="Table9" ref="A8:J12" totalsRowShown="0" headerRowDxfId="109" dataDxfId="107" headerRowBorderDxfId="108" tableBorderDxfId="106">
  <autoFilter ref="A8: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Type of Birth _x000a_[note 5][note 6]" dataDxfId="105"/>
    <tableColumn id="2" name="Total applications received _x000a_[note 7]" dataDxfId="104">
      <calculatedColumnFormula>VLOOKUP($A9, 'Table 9 Full Data'!$A$2:$J$21,2,FALSE)</calculatedColumnFormula>
    </tableColumn>
    <tableColumn id="3" name="Percentage of total pregnancy and baby applications received " dataDxfId="103">
      <calculatedColumnFormula>VLOOKUP($A9, 'Table 9 Full Data'!$A$2:$J$21,3,FALSE)</calculatedColumnFormula>
    </tableColumn>
    <tableColumn id="4" name="Total applications processed" dataDxfId="102" dataCellStyle="Comma">
      <calculatedColumnFormula>VLOOKUP($A9, 'Table 9 Full Data'!$A$2:$J$21,4,FALSE)</calculatedColumnFormula>
    </tableColumn>
    <tableColumn id="5" name="Authorised applications _x000a_[note 8]" dataDxfId="101" dataCellStyle="Comma">
      <calculatedColumnFormula>VLOOKUP($A9, 'Table 9 Full Data'!$A$2:$J$21,5,FALSE)</calculatedColumnFormula>
    </tableColumn>
    <tableColumn id="6" name="Denied Applications [note 8]" dataDxfId="100" dataCellStyle="Comma">
      <calculatedColumnFormula>VLOOKUP($A9, 'Table 9 Full Data'!$A$2:$J$21,6,FALSE)</calculatedColumnFormula>
    </tableColumn>
    <tableColumn id="7" name="Withdrawn applications" dataDxfId="99" dataCellStyle="Comma">
      <calculatedColumnFormula>VLOOKUP($A9, 'Table 9 Full Data'!$A$2:$J$21,7,FALSE)</calculatedColumnFormula>
    </tableColumn>
    <tableColumn id="8" name="Percentage of processed applications authorised" dataDxfId="98">
      <calculatedColumnFormula>VLOOKUP($A9, 'Table 9 Full Data'!$A$2:$J$21,8,FALSE)</calculatedColumnFormula>
    </tableColumn>
    <tableColumn id="9" name="Percentage of processed applications denied" dataDxfId="97">
      <calculatedColumnFormula>VLOOKUP($A9, 'Table 9 Full Data'!$A$2:$J$21,9,FALSE)</calculatedColumnFormula>
    </tableColumn>
    <tableColumn id="10" name="Percentage of processed applications withdrawn " dataDxfId="96">
      <calculatedColumnFormula>VLOOKUP($A9, 'Table 9 Full Data'!$A$2:$J$21,10,FALSE)</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11" name="Table10" displayName="Table10" ref="A6:M44" totalsRowShown="0" headerRowDxfId="95" dataDxfId="93" headerRowBorderDxfId="94" tableBorderDxfId="92">
  <tableColumns count="13">
    <tableColumn id="1" name="Processing Time by Month _x000a_[note 1][note 2]" dataDxfId="91"/>
    <tableColumn id="2" name="Total applications excluding _x000a_re-determinations_x000a_" dataDxfId="90" dataCellStyle="Comma"/>
    <tableColumn id="3" name="Applications processed in the same day" dataDxfId="89" dataCellStyle="Comma"/>
    <tableColumn id="4" name="Applications processed in _x000a_1-5 days" dataDxfId="88" dataCellStyle="Comma"/>
    <tableColumn id="5" name="Applications processed in _x000a_6-10 days" dataDxfId="87" dataCellStyle="Comma"/>
    <tableColumn id="6" name="Applications processed in _x000a_11-15 days" dataDxfId="86" dataCellStyle="Comma"/>
    <tableColumn id="7" name="Applications processed in _x000a_16-20 days" dataDxfId="85" dataCellStyle="Comma"/>
    <tableColumn id="8" name="Applications processed in _x000a_21 or more days" dataDxfId="84" dataCellStyle="Comma"/>
    <tableColumn id="9" name="Applications processed within 10 days" dataDxfId="83" dataCellStyle="Comma"/>
    <tableColumn id="11" name="Applications processed within 15 days" dataDxfId="82" dataCellStyle="Comma"/>
    <tableColumn id="12" name="Applications processed in _x000a_16 days or more _x000a_[note 3]" dataDxfId="81" dataCellStyle="Comma"/>
    <tableColumn id="16" name="Percentage of applications processed within 10 days _x000a_[note 3]" dataDxfId="80" dataCellStyle="Comma"/>
    <tableColumn id="13" name="Average Processing Time _x000a_[note 4]" dataDxfId="79"/>
  </tableColumns>
  <tableStyleInfo name="TableStyleLight1" showFirstColumn="0" showLastColumn="0" showRowStripes="1" showColumnStripes="0"/>
</table>
</file>

<file path=xl/tables/table12.xml><?xml version="1.0" encoding="utf-8"?>
<table xmlns="http://schemas.openxmlformats.org/spreadsheetml/2006/main" id="13" name="Table11" displayName="Table11" ref="A6:J42" totalsRowShown="0" headerRowDxfId="78" dataDxfId="76" headerRowBorderDxfId="77" tableBorderDxfId="75">
  <autoFilter ref="A6:J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ocal Authority _x000a_[note 1][note 2][note 3]" dataDxfId="74"/>
    <tableColumn id="2" name="Total value of payments_x000a_[note 4]" dataDxfId="73"/>
    <tableColumn id="3" name="Value of Best Start Grant - Pregnancy and Baby Payments [note 4]" dataDxfId="72"/>
    <tableColumn id="4" name="Value of Best Start Grant - Early Learning Payments [note 4]" dataDxfId="71"/>
    <tableColumn id="5" name="Value of Best Start Grant - School Age Payments [note 4]" dataDxfId="70"/>
    <tableColumn id="6" name="Value of Best Start Foods Payments _x000a_[note 4]_x000a_[note 5]" dataDxfId="69"/>
    <tableColumn id="7" name="Percentage of Best Start Grant - Pregnancy and Baby Payments" dataDxfId="68"/>
    <tableColumn id="8" name="Percentage of Best Start Grant - Early Learning Payments " dataDxfId="67"/>
    <tableColumn id="9" name="Percentage of Best Start Grant - School Age Payments" dataDxfId="66"/>
    <tableColumn id="10" name="Percentage of Best Start Foods Payments" dataDxfId="65"/>
  </tableColumns>
  <tableStyleInfo name="TableStyleLight1" showFirstColumn="0" showLastColumn="0" showRowStripes="1" showColumnStripes="0"/>
</table>
</file>

<file path=xl/tables/table13.xml><?xml version="1.0" encoding="utf-8"?>
<table xmlns="http://schemas.openxmlformats.org/spreadsheetml/2006/main" id="14" name="Table12" displayName="Table12" ref="A6:J47" totalsRowShown="0" headerRowDxfId="64" dataDxfId="62" headerRowBorderDxfId="63" tableBorderDxfId="61">
  <autoFilter ref="A6:J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Payment Month _x000a_[note 1][note 2][note 3][note 4][note 5]" dataDxfId="60"/>
    <tableColumn id="2" name="Total value of payments_x000a_[note 6]" dataDxfId="59" dataCellStyle="Currency"/>
    <tableColumn id="3" name="Value of Best Start Grant - Pregnancy and Baby Payments _x000a_[note 6]" dataDxfId="58" dataCellStyle="Currency"/>
    <tableColumn id="4" name="Value of Best Start Grant - Early Learning Payments [note 6]" dataDxfId="57" dataCellStyle="Currency"/>
    <tableColumn id="5" name="Value of Best Start Grant - School Age Payments_x000a_ [note 6]" dataDxfId="56" dataCellStyle="Currency"/>
    <tableColumn id="6" name="Value of Best Start Foods Payments _x000a_[note 6][note 7]" dataDxfId="55" dataCellStyle="Currency"/>
    <tableColumn id="7" name="Percentage of Best Start Grant - Pregnancy and Baby Payments" dataDxfId="54"/>
    <tableColumn id="8" name="Percentage of Best Start Grant - Early Learning Payments " dataDxfId="53"/>
    <tableColumn id="9" name="Percentage of Best Start Grant - School Age Payments" dataDxfId="52"/>
    <tableColumn id="10" name="Percentage of Best Start Foods Payments" dataDxfId="51"/>
  </tableColumns>
  <tableStyleInfo name="TableStyleLight1" showFirstColumn="0" showLastColumn="0" showRowStripes="1" showColumnStripes="0"/>
</table>
</file>

<file path=xl/tables/table14.xml><?xml version="1.0" encoding="utf-8"?>
<table xmlns="http://schemas.openxmlformats.org/spreadsheetml/2006/main" id="15" name="Table13a" displayName="Table13a" ref="A6:M43" totalsRowShown="0" headerRowDxfId="50" dataDxfId="48" headerRowBorderDxfId="49" tableBorderDxfId="47">
  <autoFilter ref="A6:M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Month" dataDxfId="46"/>
    <tableColumn id="2" name="Number of  re-determinations  received _x000a_[note 1]" dataDxfId="45" dataCellStyle="Comma"/>
    <tableColumn id="3" name="Re-determinations as a percentage of decisions processed" dataDxfId="44"/>
    <tableColumn id="4" name="Re-determinations completed _x000a_[note 2]" dataDxfId="43" dataCellStyle="Comma"/>
    <tableColumn id="5" name="Completed re-determinations which are disallowed _x000a_[note 2]" dataDxfId="42" dataCellStyle="Comma"/>
    <tableColumn id="6" name="Completed re-determinations which are allowed or partially allowed _x000a_[note 2]" dataDxfId="41" dataCellStyle="Comma"/>
    <tableColumn id="7" name="Completed re-determinations which are withdrawn _x000a_[note 2]" dataDxfId="40" dataCellStyle="Comma"/>
    <tableColumn id="8" name="Percentage of re-determinations disallowed _x000a_[note 2]" dataDxfId="39"/>
    <tableColumn id="9" name="Percentage of re-determinations allowed or partially allowed _x000a_[note 2]" dataDxfId="38"/>
    <tableColumn id="10" name="Percentage of re-determinations withdrawn _x000a_[note 2]" dataDxfId="37"/>
    <tableColumn id="11" name="Re-determinations pending by end of the month" dataDxfId="36" dataCellStyle="Comma"/>
    <tableColumn id="12" name="Average number of days to respond _x000a_[note 2][note 3][note4]" dataDxfId="35" dataCellStyle="Comma"/>
    <tableColumn id="13" name="Re-determinations _x000a_closed within 16 working days _x000a_[note 1][note 3]" dataDxfId="34"/>
  </tableColumns>
  <tableStyleInfo name="TableStyleLight1" showFirstColumn="0" showLastColumn="0" showRowStripes="1" showColumnStripes="0"/>
</table>
</file>

<file path=xl/tables/table15.xml><?xml version="1.0" encoding="utf-8"?>
<table xmlns="http://schemas.openxmlformats.org/spreadsheetml/2006/main" id="19" name="Table13b" displayName="Table13b" ref="A6:G43" totalsRowShown="0" headerRowDxfId="33" dataDxfId="31" headerRowBorderDxfId="32" tableBorderDxfId="30">
  <autoFilter ref="A6:G4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th" dataDxfId="29"/>
    <tableColumn id="2" name="Number of appeals received _x000a_[note 1]" dataDxfId="28" dataCellStyle="Comma"/>
    <tableColumn id="3" name="Appeal hearings taking place _x000a_[note 1][note 2]" dataDxfId="27" dataCellStyle="Comma"/>
    <tableColumn id="4" name="Appeals upheld _x000a_[note 1][note 2][note 3]" dataDxfId="26" dataCellStyle="Comma"/>
    <tableColumn id="5" name="Appeals not upheld_x000a_[note 1][note 2][note 3]" dataDxfId="25" dataCellStyle="Comma"/>
    <tableColumn id="6" name="Percentage of appeals upheld_x000a_[note 1][note 2][note 3]" dataDxfId="24"/>
    <tableColumn id="7" name="Percentage of appeals not upheld_x000a_[note 1][note 2][note 3]" dataDxfId="23"/>
  </tableColumns>
  <tableStyleInfo name="TableStyleLight1" showFirstColumn="0" showLastColumn="0" showRowStripes="1" showColumnStripes="0"/>
</table>
</file>

<file path=xl/tables/table16.xml><?xml version="1.0" encoding="utf-8"?>
<table xmlns="http://schemas.openxmlformats.org/spreadsheetml/2006/main" id="20" name="Table14" displayName="Table14" ref="A6:L35" totalsRowShown="0" headerRowDxfId="22" dataDxfId="20" headerRowBorderDxfId="21" tableBorderDxfId="19">
  <autoFilter ref="A6:L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Month" dataDxfId="18"/>
    <tableColumn id="2" name="Number of review requests received _x000a_[note 1]" dataDxfId="17" dataCellStyle="Comma"/>
    <tableColumn id="3" name="Reviews as a percentage of decisions processed" dataDxfId="16"/>
    <tableColumn id="4" name="Reviews completed _x000a_[note 2]" dataDxfId="15" dataCellStyle="Comma"/>
    <tableColumn id="5" name="Completed reviews which are disallowed _x000a_[note 2]" dataDxfId="14" dataCellStyle="Comma"/>
    <tableColumn id="6" name="Completed reviews which are allowed or partially allowed _x000a_[note 2]" dataDxfId="13" dataCellStyle="Comma"/>
    <tableColumn id="7" name="Completed reviews which are withdrawn _x000a_[note 2]" dataDxfId="12" dataCellStyle="Comma"/>
    <tableColumn id="8" name="Percentage of reviews disallowed _x000a_[note 2]" dataDxfId="11"/>
    <tableColumn id="9" name="Percentage of reviews allowed or partially allowed _x000a_[note 2]" dataDxfId="10"/>
    <tableColumn id="10" name="Percentage of reviews withdrawn _x000a_[note 2]" dataDxfId="9"/>
    <tableColumn id="11" name="Review requests pending by end of the month" dataDxfId="8" dataCellStyle="Comma"/>
    <tableColumn id="12" name="Average number of days to respond _x000a_[note 2][note 3][note 4]" dataDxfId="7" dataCellStyle="Comma"/>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6:J47" totalsRowShown="0" headerRowDxfId="226" dataDxfId="224" headerRowBorderDxfId="225" tableBorderDxfId="223">
  <autoFilter ref="A6:J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_x000a_ [note 1][note 2][note 3][note 4]" dataDxfId="222"/>
    <tableColumn id="2" name="Total applications received _x000a_[note 5]" dataDxfId="221" dataCellStyle="Comma"/>
    <tableColumn id="3" name="Percentage of total applications received " dataDxfId="220"/>
    <tableColumn id="4" name="Total applications processed  [note 6]" dataDxfId="219" dataCellStyle="Comma"/>
    <tableColumn id="5" name="Authorised applications [note 7]" dataDxfId="218" dataCellStyle="Comma"/>
    <tableColumn id="6" name="Denied Applications [note 8]" dataDxfId="217" dataCellStyle="Comma"/>
    <tableColumn id="7" name="Withdrawn applications [note 9]" dataDxfId="216" dataCellStyle="Comma"/>
    <tableColumn id="8" name="Percentage of processed applications authorised" dataDxfId="215"/>
    <tableColumn id="9" name="Percentage of processed applications denied" dataDxfId="214"/>
    <tableColumn id="10" name="Percentage of processed applications withdrawn " dataDxfId="213"/>
  </tableColumns>
  <tableStyleInfo name="TableStyleLight1" showFirstColumn="0" showLastColumn="0" showRowStripes="1" showColumnStripes="0"/>
</table>
</file>

<file path=xl/tables/table3.xml><?xml version="1.0" encoding="utf-8"?>
<table xmlns="http://schemas.openxmlformats.org/spreadsheetml/2006/main" id="2" name="Table2" displayName="Table2" ref="A8:K14" totalsRowShown="0" headerRowDxfId="212" dataDxfId="210" headerRowBorderDxfId="211" tableBorderDxfId="209">
  <autoFilter ref="A8:K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omponent included in application _x000a_[note 5][note 6][note 7][note 8]_x000a_[note 9]" dataDxfId="208"/>
    <tableColumn id="2" name="Total applications received _x000a_" dataDxfId="207">
      <calculatedColumnFormula>VLOOKUP($A9,'Table 2 - Full data'!$A$2:$K$31,2,FALSE)</calculatedColumnFormula>
    </tableColumn>
    <tableColumn id="3" name="Percentage of total applications received " dataDxfId="206">
      <calculatedColumnFormula>VLOOKUP($A9,'Table 2 - Full data'!$A$2:$K$31,3,FALSE)</calculatedColumnFormula>
    </tableColumn>
    <tableColumn id="4" name="Total applications processed _x000a_[note 10]" dataDxfId="205">
      <calculatedColumnFormula>VLOOKUP($A9,'Table 2 - Full data'!$A$2:$K$31,4,FALSE)</calculatedColumnFormula>
    </tableColumn>
    <tableColumn id="5" name="% of total applications processed" dataDxfId="204">
      <calculatedColumnFormula>VLOOKUP($A9,'Table 2 - Full data'!$A$2:$K$31,5,FALSE)</calculatedColumnFormula>
    </tableColumn>
    <tableColumn id="6" name="Authorised applications _x000a_[note 11]" dataDxfId="203">
      <calculatedColumnFormula>VLOOKUP($A9,'Table 2 - Full data'!$A$2:$K$31,6,FALSE)</calculatedColumnFormula>
    </tableColumn>
    <tableColumn id="7" name="Denied Applications [note 12]" dataDxfId="202">
      <calculatedColumnFormula>VLOOKUP($A9,'Table 2 - Full data'!$A$2:$K$31,7,FALSE)</calculatedColumnFormula>
    </tableColumn>
    <tableColumn id="8" name="Withdrawn applications _x000a_[note 13]" dataDxfId="201">
      <calculatedColumnFormula>VLOOKUP($A9,'Table 2 - Full data'!$A$2:$K$31,8,FALSE)</calculatedColumnFormula>
    </tableColumn>
    <tableColumn id="9" name="Percentage of processed applications authorised" dataDxfId="200">
      <calculatedColumnFormula>VLOOKUP($A9,'Table 2 - Full data'!$A$2:$K$31,9,FALSE)</calculatedColumnFormula>
    </tableColumn>
    <tableColumn id="10" name="Percentage of processed applications denied" dataDxfId="199">
      <calculatedColumnFormula>VLOOKUP($A9,'Table 2 - Full data'!$A$2:$K$31,10,FALSE)</calculatedColumnFormula>
    </tableColumn>
    <tableColumn id="11" name="Percentage of processed applications withdrawn " dataDxfId="198">
      <calculatedColumnFormula>VLOOKUP($A9,'Table 2 - Full data'!$A$2:$K$31,11,FALSE)</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7" name="Table3" displayName="Table3" ref="A6:I43" tableType="queryTable" totalsRowShown="0" headerRowDxfId="197" dataDxfId="195" headerRowBorderDxfId="196">
  <tableColumns count="9">
    <tableColumn id="15" uniqueName="15" name="Applications Received by month _x000a_[note 1]" queryTableFieldId="1" dataDxfId="194"/>
    <tableColumn id="16" uniqueName="16" name="Total" queryTableFieldId="2" dataDxfId="193" dataCellStyle="Comma"/>
    <tableColumn id="17" uniqueName="17" name="Online Applications " queryTableFieldId="3" dataDxfId="192" dataCellStyle="Comma"/>
    <tableColumn id="18" uniqueName="18" name="Paper Applications _x000a_[note 2]" queryTableFieldId="4" dataDxfId="191" dataCellStyle="Comma"/>
    <tableColumn id="19" uniqueName="19" name="Phone Applications _x000a_[note 2][note 3]" queryTableFieldId="5" dataDxfId="190" dataCellStyle="Comma"/>
    <tableColumn id="1" uniqueName="1" name="Combined Phone and Paper Applications _x000a_[note 2]" queryTableFieldId="11" dataDxfId="189" dataCellStyle="Comma"/>
    <tableColumn id="20" uniqueName="20" name="Unknown Channel _x000a_[note 4]" queryTableFieldId="6" dataDxfId="188" dataCellStyle="Comma"/>
    <tableColumn id="21" uniqueName="21" name="Percentage of Online Applications " queryTableFieldId="7" dataDxfId="187"/>
    <tableColumn id="2" uniqueName="2" name="Percentage of Paper and Phone Applications" queryTableFieldId="12" dataDxfId="186" dataCellStyle="Comma"/>
  </tableColumns>
  <tableStyleInfo name="TableStyleLight1" showFirstColumn="0" showLastColumn="0" showRowStripes="1" showColumnStripes="0"/>
</table>
</file>

<file path=xl/tables/table5.xml><?xml version="1.0" encoding="utf-8"?>
<table xmlns="http://schemas.openxmlformats.org/spreadsheetml/2006/main" id="4" name="Table4" displayName="Table4" ref="A8:J21" totalsRowShown="0" headerRowDxfId="185" dataDxfId="183" headerRowBorderDxfId="184" tableBorderDxfId="182">
  <autoFilter ref="A8: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pplicant Age Group_x000a_[note 5][note 6]" dataDxfId="181"/>
    <tableColumn id="2" name="Total applications received _x000a_[note 7]_x000a_" dataDxfId="180" dataCellStyle="Comma">
      <calculatedColumnFormula>VLOOKUP($A9, 'Table 4 - Full data'!$A$2:$J$66,2,FALSE)</calculatedColumnFormula>
    </tableColumn>
    <tableColumn id="3" name="Percentage of total applications received " dataDxfId="179" dataCellStyle="Percent">
      <calculatedColumnFormula>VLOOKUP($A9, 'Table 4 - Full data'!$A$2:$J$66,3,FALSE)</calculatedColumnFormula>
    </tableColumn>
    <tableColumn id="4" name="Total applications processed " dataDxfId="178" dataCellStyle="Comma">
      <calculatedColumnFormula>VLOOKUP($A9, 'Table 4 - Full data'!$A$2:$J$66,4,FALSE)</calculatedColumnFormula>
    </tableColumn>
    <tableColumn id="6" name="Authorised applications [note 8]" dataDxfId="177" dataCellStyle="Comma">
      <calculatedColumnFormula>VLOOKUP($A9, 'Table 4 - Full data'!$A$2:$J$66,5,FALSE)</calculatedColumnFormula>
    </tableColumn>
    <tableColumn id="7" name="Denied Applications [note 9]" dataDxfId="176" dataCellStyle="Comma">
      <calculatedColumnFormula>VLOOKUP($A9, 'Table 4 - Full data'!$A$2:$J$66,6,FALSE)</calculatedColumnFormula>
    </tableColumn>
    <tableColumn id="8" name="Withdrawn applications [note 10]" dataDxfId="175" dataCellStyle="Comma">
      <calculatedColumnFormula>VLOOKUP($A9, 'Table 4 - Full data'!$A$2:$J$66,7,FALSE)</calculatedColumnFormula>
    </tableColumn>
    <tableColumn id="9" name="Percentage of processed applications authorised" dataDxfId="174" dataCellStyle="Percent">
      <calculatedColumnFormula>VLOOKUP($A9, 'Table 4 - Full data'!$A$2:$J$66,8,FALSE)</calculatedColumnFormula>
    </tableColumn>
    <tableColumn id="10" name="Percentage of processed applications denied" dataDxfId="173" dataCellStyle="Percent">
      <calculatedColumnFormula>VLOOKUP($A9, 'Table 4 - Full data'!$A$2:$J$66,9,FALSE)</calculatedColumnFormula>
    </tableColumn>
    <tableColumn id="11" name="Percentage of processed applications withdrawn " dataDxfId="172" dataCellStyle="Percent">
      <calculatedColumnFormula>VLOOKUP($A9, 'Table 4 - Full data'!$A$2:$J$66,10,FALSE)</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5" name="Table5" displayName="Table5" ref="A8:J44" totalsRowShown="0" headerRowDxfId="171" dataDxfId="169" headerRowBorderDxfId="170" tableBorderDxfId="168">
  <autoFilter ref="A8:J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ocal Authority _x000a_[note 5][note 6][note 7]" dataDxfId="167"/>
    <tableColumn id="2" name="Total applications received _x000a_[note 8]" dataDxfId="166" dataCellStyle="Comma">
      <calculatedColumnFormula>VLOOKUP($A9,'Table 5 - Full data'!$A$2:$J$1181,2,FALSE)</calculatedColumnFormula>
    </tableColumn>
    <tableColumn id="3" name="Percentage of total applications received " dataDxfId="165">
      <calculatedColumnFormula>VLOOKUP($A9,'Table 5 - Full data'!$A$2:$J$181,3,FALSE)</calculatedColumnFormula>
    </tableColumn>
    <tableColumn id="4" name="Total applications processed " dataDxfId="164" dataCellStyle="Comma">
      <calculatedColumnFormula>VLOOKUP($A9,'Table 5 - Full data'!$A$2:$J$181,4,FALSE)</calculatedColumnFormula>
    </tableColumn>
    <tableColumn id="5" name="Authorised applications [note 9]" dataDxfId="163" dataCellStyle="Comma">
      <calculatedColumnFormula>VLOOKUP($A9,'Table 5 - Full data'!$A$2:$J$181,5,FALSE)</calculatedColumnFormula>
    </tableColumn>
    <tableColumn id="6" name="Denied Applications [note 10]" dataDxfId="162" dataCellStyle="Comma">
      <calculatedColumnFormula>VLOOKUP($A9,'Table 5 - Full data'!$A$2:$J$181,6,FALSE)</calculatedColumnFormula>
    </tableColumn>
    <tableColumn id="7" name="Withdrawn applications [note 11]" dataDxfId="161" dataCellStyle="Comma">
      <calculatedColumnFormula>VLOOKUP($A9,'Table 5 - Full data'!$A$2:$J$181,7,FALSE)</calculatedColumnFormula>
    </tableColumn>
    <tableColumn id="8" name="Percentage of processed applications authorised" dataDxfId="160">
      <calculatedColumnFormula>VLOOKUP($A9,'Table 5 - Full data'!$A$2:$J$181,8,FALSE)</calculatedColumnFormula>
    </tableColumn>
    <tableColumn id="9" name="Percentage of processed applications denied" dataDxfId="159">
      <calculatedColumnFormula>VLOOKUP($A9,'Table 5 - Full data'!$A$2:$J$181,9,FALSE)</calculatedColumnFormula>
    </tableColumn>
    <tableColumn id="10" name="Percentage of processed applications withdrawn " dataDxfId="158">
      <calculatedColumnFormula>VLOOKUP($A9,'Table 5 - Full data'!$A$2:$J$181,10,FALSE)</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8" name="Table6" displayName="Table6" ref="A8:M44" totalsRowShown="0" headerRowDxfId="157" dataDxfId="155" headerRowBorderDxfId="156" tableBorderDxfId="154">
  <autoFilter ref="A8:M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Local Authority _x000a_[note 5][note 6][note 7]" dataDxfId="153"/>
    <tableColumn id="2" name="Total applications received _x000a_[note 8]" dataDxfId="152" dataCellStyle="Comma">
      <calculatedColumnFormula>VLOOKUP($A9, 'Table 6 - Full data'!$A$2:$M$181,2,FALSE)</calculatedColumnFormula>
    </tableColumn>
    <tableColumn id="3" name="Percentage of total applications received " dataDxfId="151" dataCellStyle="Percent">
      <calculatedColumnFormula>VLOOKUP($A9, 'Table 6 - Full data'!$A$2:$M$181,3,FALSE)</calculatedColumnFormula>
    </tableColumn>
    <tableColumn id="4" name="Applications for Best Start Grant - Pregnancy and Baby Payment _x000a_[note 9][note 10]" dataDxfId="150" dataCellStyle="Comma">
      <calculatedColumnFormula>VLOOKUP($A9, 'Table 6 - Full data'!$A$2:$M$181,4,FALSE)</calculatedColumnFormula>
    </tableColumn>
    <tableColumn id="5" name="Applications for Best Start Grant - Early Learning Payment _x000a_[note 9][note 11]" dataDxfId="149" dataCellStyle="Comma">
      <calculatedColumnFormula>VLOOKUP($A9, 'Table 6 - Full data'!$A$2:$M$181,5,FALSE)</calculatedColumnFormula>
    </tableColumn>
    <tableColumn id="6" name="Applications for Best Start grant - School Age Payment _x000a_[note 9][note 11]" dataDxfId="148" dataCellStyle="Comma">
      <calculatedColumnFormula>VLOOKUP($A9, 'Table 6 - Full data'!$A$2:$M$181,6,FALSE)</calculatedColumnFormula>
    </tableColumn>
    <tableColumn id="7" name="Applications for Best Start Foods _x000a_[note 9][note 11]" dataDxfId="147" dataCellStyle="Comma">
      <calculatedColumnFormula>VLOOKUP($A9, 'Table 6 - Full data'!$A$2:$M$181,7,FALSE)</calculatedColumnFormula>
    </tableColumn>
    <tableColumn id="8" name="Applications for Unknown application _x000a_[note 9][note 12]" dataDxfId="146" dataCellStyle="Comma">
      <calculatedColumnFormula>VLOOKUP($A9, 'Table 6 - Full data'!$A$2:$M$181,8,FALSE)</calculatedColumnFormula>
    </tableColumn>
    <tableColumn id="9" name="Percentage of applications for Best Start Grant - Pregnancy and Baby Payment [note 9][note 10]" dataDxfId="145" dataCellStyle="Percent">
      <calculatedColumnFormula>VLOOKUP($A9, 'Table 6 - Full data'!$A$2:$M$181,9,FALSE)</calculatedColumnFormula>
    </tableColumn>
    <tableColumn id="10" name="Percentage of applications for Best Start Grant - Early Learning Payment _x000a_[note 9][note 11]" dataDxfId="144" dataCellStyle="Percent">
      <calculatedColumnFormula>VLOOKUP($A9, 'Table 6 - Full data'!$A$2:$M$181,10,FALSE)</calculatedColumnFormula>
    </tableColumn>
    <tableColumn id="11" name="Percentage of applications for Best Start Grant - School Age Payment _x000a_[note 9][note 11]" dataDxfId="143" dataCellStyle="Percent">
      <calculatedColumnFormula>VLOOKUP($A9, 'Table 6 - Full data'!$A$2:$M$181,11,FALSE)</calculatedColumnFormula>
    </tableColumn>
    <tableColumn id="12" name="Percentage of applications for Best Start Foods_x000a_ [note 9][note 11]" dataDxfId="142" dataCellStyle="Percent">
      <calculatedColumnFormula>VLOOKUP($A9, 'Table 6 - Full data'!$A$2:$M$181,12,FALSE)</calculatedColumnFormula>
    </tableColumn>
    <tableColumn id="15" name="Percentage of applications for Unknown application [note 9][note 12]" dataDxfId="141" dataCellStyle="Percent">
      <calculatedColumnFormula>VLOOKUP($A9, 'Table 6 - Full data'!$A$2:$M$181,13,FALSE)</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9" name="Table7" displayName="Table7" ref="A8:J26" totalsRowShown="0" headerRowDxfId="140" dataDxfId="138" headerRowBorderDxfId="139" tableBorderDxfId="137">
  <autoFilter ref="A8:J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ealth Board_x000a_[note 5][note 6][note 7]" dataDxfId="136"/>
    <tableColumn id="2" name="Total applications received _x000a_[note 8]" dataDxfId="135" dataCellStyle="Comma">
      <calculatedColumnFormula>VLOOKUP($A9, 'Table 7 - Full data'!$A$2:$J$91,2,FALSE)</calculatedColumnFormula>
    </tableColumn>
    <tableColumn id="3" name="Percentage of total applications received " dataDxfId="134" dataCellStyle="Percent">
      <calculatedColumnFormula>VLOOKUP($A9,'Table 7 - Full data'!$A$2:$J$91,3,FALSE)</calculatedColumnFormula>
    </tableColumn>
    <tableColumn id="4" name="Total applications processed " dataDxfId="133" dataCellStyle="Comma">
      <calculatedColumnFormula>VLOOKUP($A9,'Table 7 - Full data'!$A$2:$J$91,4,FALSE)</calculatedColumnFormula>
    </tableColumn>
    <tableColumn id="5" name="Authorised applications [note 9]" dataDxfId="132" dataCellStyle="Comma">
      <calculatedColumnFormula>VLOOKUP($A9,'Table 7 - Full data'!$A$2:$J$91,5,FALSE)</calculatedColumnFormula>
    </tableColumn>
    <tableColumn id="6" name="Denied Applications [note 10]" dataDxfId="131" dataCellStyle="Comma">
      <calculatedColumnFormula>VLOOKUP($A9,'Table 7 - Full data'!$A$2:$J$91,6,FALSE)</calculatedColumnFormula>
    </tableColumn>
    <tableColumn id="7" name="Withdrawn applications [note 11]" dataDxfId="130" dataCellStyle="Comma">
      <calculatedColumnFormula>VLOOKUP($A9,'Table 7 - Full data'!$A$2:$J$91,7,FALSE)</calculatedColumnFormula>
    </tableColumn>
    <tableColumn id="8" name="Percentage of processed applications authorised" dataDxfId="129" dataCellStyle="Percent">
      <calculatedColumnFormula>VLOOKUP($A9,'Table 7 - Full data'!$A$2:$J$91,8,FALSE)</calculatedColumnFormula>
    </tableColumn>
    <tableColumn id="9" name="Percentage of processed applications denied" dataDxfId="128" dataCellStyle="Percent">
      <calculatedColumnFormula>VLOOKUP($A9,'Table 7 - Full data'!$A$2:$J$91,9,FALSE)</calculatedColumnFormula>
    </tableColumn>
    <tableColumn id="10" name="Percentage of processed applications withdrawn " dataDxfId="127" dataCellStyle="Percent">
      <calculatedColumnFormula>VLOOKUP($A9,'Table 7 - Full data'!$A$2:$J$91,10,FALSE)</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10" name="Table8" displayName="Table8" ref="A8:M26" totalsRowShown="0" headerRowDxfId="126" dataDxfId="124" headerRowBorderDxfId="125" tableBorderDxfId="123">
  <autoFilter ref="A8:M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ealth Board_x000a_[note 5][note 6][note 7]" dataDxfId="122"/>
    <tableColumn id="2" name="Total applications received _x000a_[note 8]" dataDxfId="121" dataCellStyle="Comma">
      <calculatedColumnFormula>VLOOKUP($A9, 'Table 8 - Full data'!$A$2:$M$91,2,FALSE)</calculatedColumnFormula>
    </tableColumn>
    <tableColumn id="3" name="Percentage of total applications received " dataDxfId="120" dataCellStyle="Percent">
      <calculatedColumnFormula>VLOOKUP($A9, 'Table 8 - Full data'!$A$2:$M$91,3,FALSE)</calculatedColumnFormula>
    </tableColumn>
    <tableColumn id="4" name="Applications for Best Start Grant - Pregnancy and Baby Payment _x000a_[note 9][note 10]" dataDxfId="119" dataCellStyle="Comma">
      <calculatedColumnFormula>VLOOKUP($A9, 'Table 8 - Full data'!$A$2:$M$91,4,FALSE)</calculatedColumnFormula>
    </tableColumn>
    <tableColumn id="5" name="Applications for Best Start Grant - Early Learning Payment _x000a_[note 9][note 11]" dataDxfId="118" dataCellStyle="Comma">
      <calculatedColumnFormula>VLOOKUP($A9, 'Table 8 - Full data'!$A$2:$M$91,5,FALSE)</calculatedColumnFormula>
    </tableColumn>
    <tableColumn id="6" name="Applications for Best Start grant - School Age Payment _x000a_[note 9][note 11]" dataDxfId="117" dataCellStyle="Comma">
      <calculatedColumnFormula>VLOOKUP($A9, 'Table 8 - Full data'!$A$2:$M$91,6,FALSE)</calculatedColumnFormula>
    </tableColumn>
    <tableColumn id="7" name="Applications for Best Start Foods _x000a_[note 9][note 11]" dataDxfId="116" dataCellStyle="Comma">
      <calculatedColumnFormula>VLOOKUP($A9, 'Table 8 - Full data'!$A$2:$M$91,7,FALSE)</calculatedColumnFormula>
    </tableColumn>
    <tableColumn id="8" name="Applications for Unknown application _x000a_[note 9][note 12]" dataDxfId="115" dataCellStyle="Comma">
      <calculatedColumnFormula>VLOOKUP($A9, 'Table 8 - Full data'!$A$2:$M$91,8,FALSE)</calculatedColumnFormula>
    </tableColumn>
    <tableColumn id="9" name="Percentage of applications for Best Start Grant - Pregnancy and Baby Payment _x000a_[note 9][note 10]" dataDxfId="114" dataCellStyle="Percent">
      <calculatedColumnFormula>VLOOKUP($A9, 'Table 8 - Full data'!$A$2:$M$91,9,FALSE)</calculatedColumnFormula>
    </tableColumn>
    <tableColumn id="10" name="Percentage of applications for Best Start Grant - Early Learning Payment _x000a_[note 9][note 11]" dataDxfId="113" dataCellStyle="Percent">
      <calculatedColumnFormula>VLOOKUP($A9, 'Table 8 - Full data'!$A$2:$M$91,10,FALSE)</calculatedColumnFormula>
    </tableColumn>
    <tableColumn id="11" name="Percentage of applications for Best Start Grant - School Age Payment _x000a_[note 9][note 11]" dataDxfId="112" dataCellStyle="Percent">
      <calculatedColumnFormula>VLOOKUP($A9, 'Table 8 - Full data'!$A$2:$M$91,11,FALSE)</calculatedColumnFormula>
    </tableColumn>
    <tableColumn id="12" name="Percentage of applications for Best Start Foods _x000a_[note 9][note 11]" dataDxfId="111" dataCellStyle="Percent">
      <calculatedColumnFormula>VLOOKUP($A9, 'Table 8 - Full data'!$A$2:$M$91,12,FALSE)</calculatedColumnFormula>
    </tableColumn>
    <tableColumn id="15" name="Percentage of applications for Unknown application [note 9][note 12]" dataDxfId="110" dataCellStyle="Percent">
      <calculatedColumnFormula>VLOOKUP($A9, 'Table 8 - Full data'!$A$2:$M$91,13,FALSE)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9"/>
  <sheetViews>
    <sheetView tabSelected="1" zoomScale="75" zoomScaleNormal="75" workbookViewId="0"/>
  </sheetViews>
  <sheetFormatPr defaultRowHeight="15" x14ac:dyDescent="0.25"/>
  <cols>
    <col min="1" max="1" width="23.7109375" customWidth="1"/>
    <col min="2" max="2" width="109.7109375" customWidth="1"/>
  </cols>
  <sheetData>
    <row r="1" spans="1:2" ht="21" x14ac:dyDescent="0.35">
      <c r="A1" s="31" t="s">
        <v>741</v>
      </c>
    </row>
    <row r="2" spans="1:2" ht="18.75" x14ac:dyDescent="0.3">
      <c r="A2" s="233" t="s">
        <v>763</v>
      </c>
      <c r="B2" s="37"/>
    </row>
    <row r="3" spans="1:2" s="22" customFormat="1" ht="15.75" x14ac:dyDescent="0.25">
      <c r="A3" s="229" t="s">
        <v>764</v>
      </c>
      <c r="B3" s="230" t="s">
        <v>765</v>
      </c>
    </row>
    <row r="4" spans="1:2" ht="15.75" x14ac:dyDescent="0.25">
      <c r="A4" s="225" t="s">
        <v>0</v>
      </c>
      <c r="B4" s="231" t="s">
        <v>24</v>
      </c>
    </row>
    <row r="5" spans="1:2" ht="15.75" x14ac:dyDescent="0.25">
      <c r="A5" s="226" t="s">
        <v>1</v>
      </c>
      <c r="B5" s="231" t="s">
        <v>25</v>
      </c>
    </row>
    <row r="6" spans="1:2" ht="15.75" x14ac:dyDescent="0.25">
      <c r="A6" s="225" t="s">
        <v>2</v>
      </c>
      <c r="B6" s="231" t="s">
        <v>26</v>
      </c>
    </row>
    <row r="7" spans="1:2" ht="15.75" x14ac:dyDescent="0.25">
      <c r="A7" s="225" t="s">
        <v>3</v>
      </c>
      <c r="B7" s="231" t="s">
        <v>27</v>
      </c>
    </row>
    <row r="8" spans="1:2" ht="15.75" x14ac:dyDescent="0.25">
      <c r="A8" s="225" t="s">
        <v>4</v>
      </c>
      <c r="B8" s="231" t="s">
        <v>28</v>
      </c>
    </row>
    <row r="9" spans="1:2" ht="15.75" x14ac:dyDescent="0.25">
      <c r="A9" s="227" t="s">
        <v>5</v>
      </c>
      <c r="B9" s="232" t="s">
        <v>43</v>
      </c>
    </row>
    <row r="10" spans="1:2" ht="15.75" x14ac:dyDescent="0.25">
      <c r="A10" s="225" t="s">
        <v>18</v>
      </c>
      <c r="B10" s="231" t="s">
        <v>29</v>
      </c>
    </row>
    <row r="11" spans="1:2" ht="15.75" x14ac:dyDescent="0.25">
      <c r="A11" s="225" t="s">
        <v>11</v>
      </c>
      <c r="B11" s="232" t="s">
        <v>44</v>
      </c>
    </row>
    <row r="12" spans="1:2" ht="15.75" x14ac:dyDescent="0.25">
      <c r="A12" s="225" t="s">
        <v>10</v>
      </c>
      <c r="B12" s="231" t="s">
        <v>20</v>
      </c>
    </row>
    <row r="13" spans="1:2" ht="15.75" x14ac:dyDescent="0.25">
      <c r="A13" s="225" t="s">
        <v>12</v>
      </c>
      <c r="B13" s="231" t="s">
        <v>30</v>
      </c>
    </row>
    <row r="14" spans="1:2" ht="15.75" x14ac:dyDescent="0.25">
      <c r="A14" s="225" t="s">
        <v>17</v>
      </c>
      <c r="B14" s="231" t="s">
        <v>31</v>
      </c>
    </row>
    <row r="15" spans="1:2" ht="15.75" x14ac:dyDescent="0.25">
      <c r="A15" s="225" t="s">
        <v>40</v>
      </c>
      <c r="B15" s="231" t="s">
        <v>32</v>
      </c>
    </row>
    <row r="16" spans="1:2" s="22" customFormat="1" ht="15.75" x14ac:dyDescent="0.25">
      <c r="A16" s="225" t="s">
        <v>568</v>
      </c>
      <c r="B16" s="231" t="s">
        <v>569</v>
      </c>
    </row>
    <row r="17" spans="1:10" ht="15.75" x14ac:dyDescent="0.25">
      <c r="A17" s="225" t="s">
        <v>567</v>
      </c>
      <c r="B17" s="231" t="s">
        <v>570</v>
      </c>
    </row>
    <row r="18" spans="1:10" ht="15.75" x14ac:dyDescent="0.25">
      <c r="A18" s="225" t="s">
        <v>41</v>
      </c>
      <c r="B18" s="231" t="s">
        <v>42</v>
      </c>
    </row>
    <row r="19" spans="1:10" ht="15.75" x14ac:dyDescent="0.25">
      <c r="A19" s="225" t="s">
        <v>14</v>
      </c>
      <c r="B19" s="231" t="s">
        <v>24</v>
      </c>
    </row>
    <row r="20" spans="1:10" ht="15.75" x14ac:dyDescent="0.25">
      <c r="A20" s="225" t="s">
        <v>15</v>
      </c>
      <c r="B20" s="231" t="s">
        <v>25</v>
      </c>
    </row>
    <row r="21" spans="1:10" ht="15.75" x14ac:dyDescent="0.25">
      <c r="A21" s="225" t="s">
        <v>16</v>
      </c>
      <c r="B21" s="231" t="s">
        <v>32</v>
      </c>
    </row>
    <row r="22" spans="1:10" ht="15.75" x14ac:dyDescent="0.25">
      <c r="A22" s="225" t="s">
        <v>571</v>
      </c>
      <c r="B22" s="231" t="s">
        <v>578</v>
      </c>
    </row>
    <row r="23" spans="1:10" ht="15.75" x14ac:dyDescent="0.25">
      <c r="A23" s="225" t="s">
        <v>572</v>
      </c>
      <c r="B23" s="231" t="s">
        <v>579</v>
      </c>
    </row>
    <row r="24" spans="1:10" ht="15.75" x14ac:dyDescent="0.25">
      <c r="A24" s="225" t="s">
        <v>573</v>
      </c>
      <c r="B24" s="231" t="s">
        <v>580</v>
      </c>
    </row>
    <row r="25" spans="1:10" ht="15.75" x14ac:dyDescent="0.25">
      <c r="A25" s="225" t="s">
        <v>574</v>
      </c>
      <c r="B25" s="232" t="s">
        <v>581</v>
      </c>
      <c r="C25" s="22"/>
      <c r="D25" s="22"/>
      <c r="E25" s="22"/>
      <c r="F25" s="22"/>
      <c r="G25" s="22"/>
      <c r="H25" s="22"/>
      <c r="I25" s="22"/>
      <c r="J25" s="22"/>
    </row>
    <row r="26" spans="1:10" ht="15.75" x14ac:dyDescent="0.25">
      <c r="A26" s="225" t="s">
        <v>575</v>
      </c>
      <c r="B26" s="231" t="s">
        <v>582</v>
      </c>
      <c r="C26" s="22"/>
      <c r="D26" s="22"/>
      <c r="E26" s="22"/>
      <c r="F26" s="22"/>
      <c r="G26" s="22"/>
      <c r="H26" s="22"/>
      <c r="I26" s="22"/>
      <c r="J26" s="22"/>
    </row>
    <row r="27" spans="1:10" ht="15.75" x14ac:dyDescent="0.25">
      <c r="A27" s="225" t="s">
        <v>576</v>
      </c>
      <c r="B27" s="232" t="s">
        <v>583</v>
      </c>
      <c r="C27" s="22"/>
      <c r="D27" s="22"/>
      <c r="E27" s="22"/>
      <c r="F27" s="22"/>
      <c r="G27" s="22"/>
      <c r="H27" s="22"/>
      <c r="I27" s="22"/>
      <c r="J27" s="22"/>
    </row>
    <row r="28" spans="1:10" ht="15.75" x14ac:dyDescent="0.25">
      <c r="A28" s="225" t="s">
        <v>577</v>
      </c>
      <c r="B28" s="231" t="s">
        <v>584</v>
      </c>
      <c r="C28" s="22"/>
      <c r="D28" s="22"/>
      <c r="E28" s="22"/>
      <c r="F28" s="22"/>
      <c r="G28" s="22"/>
      <c r="H28" s="22"/>
      <c r="I28" s="22"/>
      <c r="J28" s="22"/>
    </row>
    <row r="29" spans="1:10" x14ac:dyDescent="0.25">
      <c r="A29" s="2"/>
      <c r="B29" s="22"/>
    </row>
  </sheetData>
  <sheetProtection sheet="1" objects="1" scenarios="1"/>
  <hyperlinks>
    <hyperlink ref="A8" location="'Table 5 Applications by LA '!A1" display="Table 5"/>
    <hyperlink ref="A7" location="'Table 4 Applications by Age '!A1" display="Table 4"/>
    <hyperlink ref="A12" location="'Table 9 Applications by Births'!A1" display="Table 9"/>
    <hyperlink ref="A6" location="'Table 3 Applications by Channel'!A1" display="Table 3"/>
    <hyperlink ref="A10" location="'Table 7 Applications by Board'!A1" display="Table 7"/>
    <hyperlink ref="A15" location="'Table 12 Payments by Month'!A1" display="Table 12"/>
    <hyperlink ref="A5" location="'Table 2 Applications by Type'!A1" display="Table 2"/>
    <hyperlink ref="A13" location="'Table 10 Processing Times'!A1" display="Table 10"/>
    <hyperlink ref="A4" location="'Table 1 Applications by Month'!A1" display="Table 1"/>
    <hyperlink ref="A20" location="'Chart 2'!A1" display="Chart 2"/>
    <hyperlink ref="A21" location="'Chart 3'!A1" display="Chart 3"/>
    <hyperlink ref="A14" location="'Table 11 Payments by LA'!A1" display="Table 11"/>
    <hyperlink ref="A9" location="'Table 6 Components by LA'!A1" display="Table 6"/>
    <hyperlink ref="A11" location="'Table 8 Components by Board'!A1" display="Table 8"/>
    <hyperlink ref="A18" location="'Table 14 Reviews'!A1" display="Table 14"/>
    <hyperlink ref="A16" location="'Table 13a Re-determinations'!A1" display="Table 13a"/>
    <hyperlink ref="A17" location="'Table 13b Appeals'!A1" display="Table 13b"/>
    <hyperlink ref="A19" location="'Chart 1'!A1" display="Chart 1"/>
    <hyperlink ref="A22" location="'Table 2 - Full data'!A1" display="Table 2"/>
    <hyperlink ref="A23" location="'Table 4 - Full data'!A1" display="Table 4 - Full Data"/>
    <hyperlink ref="A24" location="'Table 5 - Full data'!A1" display="Table 5 - Full Data"/>
    <hyperlink ref="A25" location="'Table 6 - Full data'!A1" display="Table 6 - Full Data"/>
    <hyperlink ref="A26" location="'Table 7 - Full data'!A1" display="Table 7 - Full Data"/>
    <hyperlink ref="A27" location="'Table 8 - Full data'!A1" display="Table 8"/>
    <hyperlink ref="A28" location="'Table 9 Full Data'!A1" display="Table 9"/>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25"/>
  <sheetViews>
    <sheetView zoomScale="75" zoomScaleNormal="75" workbookViewId="0"/>
  </sheetViews>
  <sheetFormatPr defaultRowHeight="15" x14ac:dyDescent="0.25"/>
  <cols>
    <col min="1" max="1" width="54.28515625" customWidth="1"/>
    <col min="2" max="10" width="17.28515625" customWidth="1"/>
  </cols>
  <sheetData>
    <row r="1" spans="1:27" ht="21" x14ac:dyDescent="0.35">
      <c r="A1" s="21" t="s">
        <v>489</v>
      </c>
      <c r="B1" s="21"/>
      <c r="C1" s="21"/>
      <c r="D1" s="21"/>
      <c r="E1" s="21"/>
      <c r="F1" s="21"/>
      <c r="G1" s="21"/>
      <c r="H1" s="23"/>
      <c r="I1" s="23"/>
      <c r="J1" s="23"/>
      <c r="K1" s="23"/>
      <c r="L1" s="22"/>
      <c r="M1" s="22"/>
      <c r="N1" s="22"/>
      <c r="O1" s="22"/>
      <c r="P1" s="22"/>
      <c r="Q1" s="22"/>
      <c r="R1" s="22"/>
    </row>
    <row r="2" spans="1:27" ht="21" x14ac:dyDescent="0.35">
      <c r="A2" s="37" t="s">
        <v>770</v>
      </c>
      <c r="B2" s="20"/>
      <c r="C2" s="20"/>
      <c r="D2" s="20"/>
      <c r="E2" s="20"/>
      <c r="F2" s="20"/>
      <c r="G2" s="20"/>
      <c r="H2" s="23"/>
      <c r="I2" s="23"/>
      <c r="J2" s="23"/>
      <c r="K2" s="23"/>
      <c r="L2" s="22"/>
      <c r="M2" s="22"/>
      <c r="N2" s="22"/>
      <c r="O2" s="22"/>
      <c r="P2" s="22"/>
      <c r="Q2" s="22"/>
      <c r="R2" s="22"/>
    </row>
    <row r="3" spans="1:27" s="9" customFormat="1" ht="18" customHeight="1" x14ac:dyDescent="0.35">
      <c r="A3" s="26" t="s">
        <v>69</v>
      </c>
      <c r="B3" s="20"/>
      <c r="C3" s="20"/>
      <c r="D3" s="20"/>
      <c r="E3" s="20"/>
      <c r="F3" s="20"/>
      <c r="G3" s="20"/>
      <c r="H3" s="23"/>
      <c r="I3" s="23"/>
      <c r="J3" s="23"/>
      <c r="K3" s="23"/>
      <c r="L3" s="22"/>
      <c r="M3" s="22"/>
      <c r="N3" s="22"/>
      <c r="O3" s="22"/>
      <c r="P3" s="22"/>
      <c r="Q3" s="22"/>
      <c r="R3" s="22"/>
    </row>
    <row r="4" spans="1:27" s="198" customFormat="1" ht="15.95" customHeight="1" x14ac:dyDescent="0.35">
      <c r="A4" s="222" t="s">
        <v>745</v>
      </c>
      <c r="B4" s="223"/>
      <c r="C4" s="223"/>
      <c r="D4" s="223"/>
      <c r="E4" s="223"/>
      <c r="F4" s="223"/>
      <c r="G4" s="223"/>
      <c r="H4" s="224"/>
      <c r="I4" s="224"/>
      <c r="J4" s="224"/>
      <c r="K4" s="224"/>
    </row>
    <row r="5" spans="1:27" s="198" customFormat="1" ht="15.95" customHeight="1" x14ac:dyDescent="0.35">
      <c r="A5" s="222" t="s">
        <v>746</v>
      </c>
      <c r="B5" s="223"/>
      <c r="C5" s="223"/>
      <c r="D5" s="223"/>
      <c r="E5" s="223"/>
      <c r="F5" s="223"/>
      <c r="G5" s="223"/>
      <c r="H5" s="224"/>
      <c r="I5" s="224"/>
      <c r="J5" s="224"/>
      <c r="K5" s="224"/>
    </row>
    <row r="6" spans="1:27" s="9" customFormat="1" ht="21" x14ac:dyDescent="0.35">
      <c r="A6" s="26" t="s">
        <v>445</v>
      </c>
      <c r="B6" s="20"/>
      <c r="C6" s="20"/>
      <c r="D6" s="20"/>
      <c r="E6" s="20"/>
      <c r="F6" s="20"/>
      <c r="G6" s="20"/>
      <c r="H6" s="23"/>
      <c r="I6" s="23"/>
      <c r="J6" s="23"/>
      <c r="K6" s="23"/>
      <c r="L6" s="22"/>
      <c r="M6" s="22"/>
      <c r="N6" s="22"/>
      <c r="O6" s="22"/>
      <c r="P6" s="22"/>
      <c r="Q6" s="22"/>
      <c r="R6" s="22"/>
    </row>
    <row r="7" spans="1:27" s="9" customFormat="1" ht="34.5" customHeight="1" x14ac:dyDescent="0.25">
      <c r="A7" s="202" t="s">
        <v>702</v>
      </c>
      <c r="B7" s="203" t="s">
        <v>222</v>
      </c>
      <c r="C7" s="37"/>
      <c r="D7" s="27"/>
      <c r="E7" s="27"/>
      <c r="F7" s="27"/>
      <c r="G7" s="27"/>
      <c r="H7" s="27"/>
      <c r="I7" s="27"/>
      <c r="J7" s="27"/>
      <c r="K7" s="27"/>
      <c r="L7" s="27"/>
      <c r="M7" s="27"/>
      <c r="N7" s="27"/>
      <c r="O7" s="27"/>
      <c r="P7" s="27"/>
      <c r="Q7" s="27"/>
      <c r="R7" s="22"/>
    </row>
    <row r="8" spans="1:27" ht="78.75" x14ac:dyDescent="0.25">
      <c r="A8" s="38" t="s">
        <v>714</v>
      </c>
      <c r="B8" s="32" t="s">
        <v>641</v>
      </c>
      <c r="C8" s="32" t="s">
        <v>319</v>
      </c>
      <c r="D8" s="32" t="s">
        <v>70</v>
      </c>
      <c r="E8" s="32" t="s">
        <v>715</v>
      </c>
      <c r="F8" s="32" t="s">
        <v>53</v>
      </c>
      <c r="G8" s="32" t="s">
        <v>71</v>
      </c>
      <c r="H8" s="32" t="s">
        <v>315</v>
      </c>
      <c r="I8" s="32" t="s">
        <v>316</v>
      </c>
      <c r="J8" s="32" t="s">
        <v>317</v>
      </c>
      <c r="K8" s="27"/>
      <c r="L8" s="33"/>
      <c r="M8" s="27"/>
      <c r="N8" s="27"/>
      <c r="O8" s="27"/>
      <c r="P8" s="27"/>
      <c r="Q8" s="27"/>
      <c r="R8" s="22"/>
    </row>
    <row r="9" spans="1:27" ht="15.75" x14ac:dyDescent="0.25">
      <c r="A9" s="34" t="str">
        <f>"Total Pregnancy and Baby Applications " &amp;$B$7</f>
        <v>Total Pregnancy and Baby Applications All time</v>
      </c>
      <c r="B9" s="163">
        <f>VLOOKUP($A9, 'Table 9 Full Data'!$A$2:$J$21,2,FALSE)</f>
        <v>109220</v>
      </c>
      <c r="C9" s="116">
        <f>VLOOKUP($A9, 'Table 9 Full Data'!$A$2:$J$21,3,FALSE)</f>
        <v>1</v>
      </c>
      <c r="D9" s="163">
        <f>VLOOKUP($A9, 'Table 9 Full Data'!$A$2:$J$21,4,FALSE)</f>
        <v>104960</v>
      </c>
      <c r="E9" s="163">
        <f>VLOOKUP($A9, 'Table 9 Full Data'!$A$2:$J$21,5,FALSE)</f>
        <v>53960</v>
      </c>
      <c r="F9" s="163">
        <f>VLOOKUP($A9, 'Table 9 Full Data'!$A$2:$J$21,6,FALSE)</f>
        <v>47755</v>
      </c>
      <c r="G9" s="163">
        <f>VLOOKUP($A9, 'Table 9 Full Data'!$A$2:$J$21,7,FALSE)</f>
        <v>3245</v>
      </c>
      <c r="H9" s="116">
        <f>VLOOKUP($A9, 'Table 9 Full Data'!$A$2:$J$21,8,FALSE)</f>
        <v>0.51</v>
      </c>
      <c r="I9" s="116">
        <f>VLOOKUP($A9, 'Table 9 Full Data'!$A$2:$J$21,9,FALSE)</f>
        <v>0.45</v>
      </c>
      <c r="J9" s="116">
        <f>VLOOKUP($A9, 'Table 9 Full Data'!$A$2:$J$21,10,FALSE)</f>
        <v>0.03</v>
      </c>
      <c r="K9" s="27"/>
      <c r="L9" s="33"/>
      <c r="M9" s="27"/>
      <c r="N9" s="27"/>
      <c r="O9" s="27"/>
      <c r="P9" s="27"/>
      <c r="Q9" s="27"/>
      <c r="R9" s="22"/>
    </row>
    <row r="10" spans="1:27" ht="15.75" x14ac:dyDescent="0.25">
      <c r="A10" s="37" t="str">
        <f xml:space="preserve"> "First Birth " &amp;$B$7</f>
        <v>First Birth All time</v>
      </c>
      <c r="B10" s="134">
        <f>VLOOKUP($A10, 'Table 9 Full Data'!$A$2:$J$21,2,FALSE)</f>
        <v>46790</v>
      </c>
      <c r="C10" s="141">
        <f>VLOOKUP($A10, 'Table 9 Full Data'!$A$2:$J$21,3,FALSE)</f>
        <v>0.43</v>
      </c>
      <c r="D10" s="134">
        <f>VLOOKUP($A10, 'Table 9 Full Data'!$A$2:$J$21,4,FALSE)</f>
        <v>44830</v>
      </c>
      <c r="E10" s="134">
        <f>VLOOKUP($A10, 'Table 9 Full Data'!$A$2:$J$21,5,FALSE)</f>
        <v>18035</v>
      </c>
      <c r="F10" s="134">
        <f>VLOOKUP($A10, 'Table 9 Full Data'!$A$2:$J$21,6,FALSE)</f>
        <v>24915</v>
      </c>
      <c r="G10" s="134">
        <f>VLOOKUP($A10, 'Table 9 Full Data'!$A$2:$J$21,7,FALSE)</f>
        <v>1875</v>
      </c>
      <c r="H10" s="141">
        <f>VLOOKUP($A10, 'Table 9 Full Data'!$A$2:$J$21,8,FALSE)</f>
        <v>0.4</v>
      </c>
      <c r="I10" s="141">
        <f>VLOOKUP($A10, 'Table 9 Full Data'!$A$2:$J$21,9,FALSE)</f>
        <v>0.56000000000000005</v>
      </c>
      <c r="J10" s="141">
        <f>VLOOKUP($A10, 'Table 9 Full Data'!$A$2:$J$21,10,FALSE)</f>
        <v>0.04</v>
      </c>
      <c r="K10" s="27"/>
      <c r="L10" s="36"/>
      <c r="M10" s="27"/>
      <c r="N10" s="27"/>
      <c r="O10" s="27"/>
      <c r="P10" s="27"/>
      <c r="Q10" s="27"/>
      <c r="R10" s="22"/>
    </row>
    <row r="11" spans="1:27" ht="16.5" thickBot="1" x14ac:dyDescent="0.3">
      <c r="A11" s="119" t="str">
        <f xml:space="preserve"> "Subsequent Birth " &amp;$B$7</f>
        <v>Subsequent Birth All time</v>
      </c>
      <c r="B11" s="181">
        <f>VLOOKUP($A11, 'Table 9 Full Data'!$A$2:$J$21,2,FALSE)</f>
        <v>62430</v>
      </c>
      <c r="C11" s="182">
        <f>VLOOKUP($A11, 'Table 9 Full Data'!$A$2:$J$21,3,FALSE)</f>
        <v>0.56999999999999995</v>
      </c>
      <c r="D11" s="181">
        <f>VLOOKUP($A11, 'Table 9 Full Data'!$A$2:$J$21,4,FALSE)</f>
        <v>60130</v>
      </c>
      <c r="E11" s="181">
        <f>VLOOKUP($A11, 'Table 9 Full Data'!$A$2:$J$21,5,FALSE)</f>
        <v>35925</v>
      </c>
      <c r="F11" s="181">
        <f>VLOOKUP($A11, 'Table 9 Full Data'!$A$2:$J$21,6,FALSE)</f>
        <v>22840</v>
      </c>
      <c r="G11" s="181">
        <f>VLOOKUP($A11, 'Table 9 Full Data'!$A$2:$J$21,7,FALSE)</f>
        <v>1370</v>
      </c>
      <c r="H11" s="182">
        <f>VLOOKUP($A11, 'Table 9 Full Data'!$A$2:$J$21,8,FALSE)</f>
        <v>0.6</v>
      </c>
      <c r="I11" s="182">
        <f>VLOOKUP($A11, 'Table 9 Full Data'!$A$2:$J$21,9,FALSE)</f>
        <v>0.38</v>
      </c>
      <c r="J11" s="182">
        <f>VLOOKUP($A11, 'Table 9 Full Data'!$A$2:$J$21,10,FALSE)</f>
        <v>0.02</v>
      </c>
      <c r="K11" s="27"/>
      <c r="L11" s="36"/>
      <c r="M11" s="37"/>
      <c r="N11" s="27"/>
      <c r="O11" s="27"/>
      <c r="P11" s="27"/>
      <c r="Q11" s="27"/>
      <c r="R11" s="22"/>
    </row>
    <row r="12" spans="1:27" ht="15.75" x14ac:dyDescent="0.25">
      <c r="A12" s="37" t="str">
        <f xml:space="preserve"> "Multiple Births " &amp;$B$7</f>
        <v>Multiple Births All time</v>
      </c>
      <c r="B12" s="134">
        <f>VLOOKUP($A12, 'Table 9 Full Data'!$A$2:$J$21,2,FALSE)</f>
        <v>1885</v>
      </c>
      <c r="C12" s="141">
        <f>VLOOKUP($A12, 'Table 9 Full Data'!$A$2:$J$21,3,FALSE)</f>
        <v>0.02</v>
      </c>
      <c r="D12" s="134">
        <f>VLOOKUP($A12, 'Table 9 Full Data'!$A$2:$J$21,4,FALSE)</f>
        <v>1805</v>
      </c>
      <c r="E12" s="134">
        <f>VLOOKUP($A12, 'Table 9 Full Data'!$A$2:$J$21,5,FALSE)</f>
        <v>905</v>
      </c>
      <c r="F12" s="134">
        <f>VLOOKUP($A12, 'Table 9 Full Data'!$A$2:$J$21,6,FALSE)</f>
        <v>845</v>
      </c>
      <c r="G12" s="134">
        <f>VLOOKUP($A12, 'Table 9 Full Data'!$A$2:$J$21,7,FALSE)</f>
        <v>60</v>
      </c>
      <c r="H12" s="141">
        <f>VLOOKUP($A12, 'Table 9 Full Data'!$A$2:$J$21,8,FALSE)</f>
        <v>0.5</v>
      </c>
      <c r="I12" s="141">
        <f>VLOOKUP($A12, 'Table 9 Full Data'!$A$2:$J$21,9,FALSE)</f>
        <v>0.47</v>
      </c>
      <c r="J12" s="141">
        <f>VLOOKUP($A12, 'Table 9 Full Data'!$A$2:$J$21,10,FALSE)</f>
        <v>0.03</v>
      </c>
      <c r="K12" s="27"/>
      <c r="L12" s="36"/>
      <c r="M12" s="37"/>
      <c r="N12" s="27"/>
      <c r="O12" s="27"/>
      <c r="P12" s="27"/>
      <c r="Q12" s="27"/>
      <c r="R12" s="22"/>
    </row>
    <row r="13" spans="1:27" s="15" customFormat="1" ht="18.75" customHeight="1" x14ac:dyDescent="0.25">
      <c r="A13" s="172" t="s">
        <v>8</v>
      </c>
      <c r="B13" s="56"/>
      <c r="C13" s="56"/>
      <c r="D13" s="56"/>
      <c r="E13" s="56"/>
      <c r="F13" s="56"/>
      <c r="G13" s="56"/>
      <c r="H13" s="56"/>
      <c r="I13" s="56"/>
      <c r="J13" s="56"/>
      <c r="K13" s="27"/>
      <c r="L13" s="36"/>
      <c r="M13" s="37"/>
      <c r="N13" s="27"/>
      <c r="O13" s="27"/>
      <c r="P13" s="27"/>
      <c r="Q13" s="27"/>
      <c r="R13" s="22"/>
    </row>
    <row r="14" spans="1:27" s="22" customFormat="1" ht="15.75" x14ac:dyDescent="0.25">
      <c r="A14" s="45" t="s">
        <v>586</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s="22" customFormat="1" ht="15.75" x14ac:dyDescent="0.25">
      <c r="A15" s="45" t="s">
        <v>587</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row>
    <row r="16" spans="1:27" s="77" customFormat="1" ht="15.75" x14ac:dyDescent="0.25">
      <c r="A16" s="46" t="s">
        <v>600</v>
      </c>
      <c r="B16" s="37"/>
      <c r="C16" s="37"/>
      <c r="D16" s="37"/>
      <c r="E16" s="37"/>
      <c r="F16" s="37"/>
      <c r="G16" s="37"/>
      <c r="H16" s="37"/>
      <c r="I16" s="37"/>
      <c r="J16" s="37"/>
      <c r="K16" s="37"/>
      <c r="L16" s="37"/>
      <c r="M16" s="37"/>
      <c r="N16" s="172"/>
      <c r="O16" s="172"/>
      <c r="P16" s="172"/>
      <c r="Q16" s="172"/>
      <c r="R16" s="172"/>
      <c r="S16" s="172"/>
      <c r="T16" s="172"/>
      <c r="U16" s="172"/>
      <c r="V16" s="172"/>
      <c r="W16" s="172"/>
      <c r="X16" s="172"/>
      <c r="Y16" s="172"/>
      <c r="Z16" s="172"/>
      <c r="AA16" s="172"/>
    </row>
    <row r="17" spans="1:27" s="77" customFormat="1" ht="15.75" x14ac:dyDescent="0.25">
      <c r="A17" s="200" t="s">
        <v>753</v>
      </c>
      <c r="B17" s="37"/>
      <c r="C17" s="37"/>
      <c r="D17" s="37"/>
      <c r="E17" s="37"/>
      <c r="F17" s="37"/>
      <c r="G17" s="37"/>
      <c r="H17" s="37"/>
      <c r="I17" s="37"/>
      <c r="J17" s="37"/>
      <c r="K17" s="37"/>
      <c r="L17" s="37"/>
      <c r="M17" s="37"/>
      <c r="N17" s="172"/>
      <c r="O17" s="172"/>
      <c r="P17" s="172"/>
      <c r="Q17" s="172"/>
      <c r="R17" s="172"/>
      <c r="S17" s="172"/>
      <c r="T17" s="172"/>
      <c r="U17" s="172"/>
      <c r="V17" s="172"/>
      <c r="W17" s="172"/>
      <c r="X17" s="172"/>
      <c r="Y17" s="172"/>
      <c r="Z17" s="172"/>
      <c r="AA17" s="172"/>
    </row>
    <row r="18" spans="1:27" ht="128.25" customHeight="1" x14ac:dyDescent="0.25">
      <c r="A18" s="29" t="s">
        <v>638</v>
      </c>
      <c r="K18" s="27"/>
      <c r="L18" s="27"/>
      <c r="M18" s="27"/>
      <c r="N18" s="27"/>
      <c r="O18" s="27"/>
      <c r="P18" s="27"/>
      <c r="Q18" s="27"/>
      <c r="R18" s="22"/>
    </row>
    <row r="19" spans="1:27" ht="15.75" x14ac:dyDescent="0.25">
      <c r="A19" s="37" t="s">
        <v>774</v>
      </c>
      <c r="K19" s="27"/>
      <c r="L19" s="27"/>
      <c r="M19" s="27"/>
      <c r="N19" s="27"/>
      <c r="O19" s="27"/>
      <c r="P19" s="27"/>
      <c r="Q19" s="27"/>
      <c r="R19" s="22"/>
    </row>
    <row r="20" spans="1:27" ht="15.75" x14ac:dyDescent="0.25">
      <c r="A20" s="37" t="s">
        <v>639</v>
      </c>
      <c r="K20" s="27"/>
      <c r="L20" s="27"/>
      <c r="M20" s="27"/>
      <c r="N20" s="27"/>
      <c r="O20" s="27"/>
      <c r="P20" s="27"/>
      <c r="Q20" s="27"/>
      <c r="R20" s="22"/>
    </row>
    <row r="21" spans="1:27" ht="15.75" x14ac:dyDescent="0.25">
      <c r="A21" s="46" t="s">
        <v>640</v>
      </c>
      <c r="K21" s="27"/>
      <c r="L21" s="27"/>
      <c r="M21" s="27"/>
      <c r="N21" s="27"/>
      <c r="O21" s="27"/>
      <c r="P21" s="27"/>
      <c r="Q21" s="27"/>
      <c r="R21" s="22"/>
    </row>
    <row r="22" spans="1:27" ht="15.75" x14ac:dyDescent="0.25">
      <c r="K22" s="27"/>
      <c r="L22" s="27"/>
      <c r="M22" s="27"/>
      <c r="N22" s="27"/>
      <c r="O22" s="27"/>
      <c r="P22" s="27"/>
      <c r="Q22" s="27"/>
      <c r="R22" s="22"/>
    </row>
    <row r="23" spans="1:27" ht="15.75" x14ac:dyDescent="0.25">
      <c r="K23" s="27"/>
      <c r="L23" s="27"/>
      <c r="M23" s="27"/>
      <c r="N23" s="27"/>
      <c r="O23" s="27"/>
      <c r="P23" s="27"/>
      <c r="Q23" s="27"/>
      <c r="R23" s="22"/>
    </row>
    <row r="24" spans="1:27" ht="15.75" x14ac:dyDescent="0.25">
      <c r="K24" s="27"/>
      <c r="L24" s="27"/>
      <c r="M24" s="27"/>
      <c r="N24" s="27"/>
      <c r="O24" s="27"/>
      <c r="P24" s="27"/>
      <c r="Q24" s="27"/>
      <c r="R24" s="22"/>
    </row>
    <row r="25" spans="1:27" ht="15.75" x14ac:dyDescent="0.25">
      <c r="K25" s="27"/>
      <c r="L25" s="27"/>
      <c r="M25" s="27"/>
      <c r="N25" s="27"/>
      <c r="O25" s="27"/>
      <c r="P25" s="27"/>
      <c r="Q25" s="27"/>
      <c r="R25" s="22"/>
    </row>
  </sheetData>
  <sheetProtection sheet="1" objects="1" scenarios="1"/>
  <protectedRanges>
    <protectedRange sqref="B7" name="Range1"/>
  </protectedRanges>
  <conditionalFormatting sqref="C9:C12">
    <cfRule type="dataBar" priority="2">
      <dataBar>
        <cfvo type="num" val="0"/>
        <cfvo type="num" val="1"/>
        <color rgb="FFB4A9D4"/>
      </dataBar>
      <extLst>
        <ext xmlns:x14="http://schemas.microsoft.com/office/spreadsheetml/2009/9/main" uri="{B025F937-C7B1-47D3-B67F-A62EFF666E3E}">
          <x14:id>{1BE08870-0563-46D0-A72E-BFCEBAF44CBB}</x14:id>
        </ext>
      </extLst>
    </cfRule>
  </conditionalFormatting>
  <conditionalFormatting sqref="H9:J12">
    <cfRule type="dataBar" priority="1">
      <dataBar>
        <cfvo type="num" val="0"/>
        <cfvo type="num" val="1"/>
        <color rgb="FFB4A9D4"/>
      </dataBar>
      <extLst>
        <ext xmlns:x14="http://schemas.microsoft.com/office/spreadsheetml/2009/9/main" uri="{B025F937-C7B1-47D3-B67F-A62EFF666E3E}">
          <x14:id>{191E4839-746D-4B94-ACCE-62519B5A88BF}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BE08870-0563-46D0-A72E-BFCEBAF44CBB}">
            <x14:dataBar minLength="0" maxLength="100" gradient="0">
              <x14:cfvo type="num">
                <xm:f>0</xm:f>
              </x14:cfvo>
              <x14:cfvo type="num">
                <xm:f>1</xm:f>
              </x14:cfvo>
              <x14:negativeFillColor rgb="FFFF0000"/>
              <x14:axisColor rgb="FF000000"/>
            </x14:dataBar>
          </x14:cfRule>
          <xm:sqref>C9:C12</xm:sqref>
        </x14:conditionalFormatting>
        <x14:conditionalFormatting xmlns:xm="http://schemas.microsoft.com/office/excel/2006/main">
          <x14:cfRule type="dataBar" id="{191E4839-746D-4B94-ACCE-62519B5A88BF}">
            <x14:dataBar minLength="0" maxLength="100" gradient="0">
              <x14:cfvo type="num">
                <xm:f>0</xm:f>
              </x14:cfvo>
              <x14:cfvo type="num">
                <xm:f>1</xm:f>
              </x14:cfvo>
              <x14:negativeFillColor rgb="FFFF0000"/>
              <x14:axisColor rgb="FF000000"/>
            </x14:dataBar>
          </x14:cfRule>
          <xm:sqref>H9:J12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4 - Full data'!$L$2:$L$6</xm:f>
          </x14:formula1>
          <xm:sqref>B7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89"/>
  <sheetViews>
    <sheetView zoomScale="75" zoomScaleNormal="75" workbookViewId="0"/>
  </sheetViews>
  <sheetFormatPr defaultRowHeight="15" x14ac:dyDescent="0.25"/>
  <cols>
    <col min="1" max="1" width="43.28515625" customWidth="1"/>
    <col min="2" max="11" width="19.28515625" customWidth="1"/>
    <col min="12" max="12" width="19.28515625" style="5" customWidth="1"/>
    <col min="13" max="13" width="19.85546875" customWidth="1"/>
    <col min="14" max="26" width="8.85546875" customWidth="1"/>
    <col min="27" max="27" width="9.85546875" bestFit="1" customWidth="1"/>
    <col min="28" max="28" width="11.42578125" customWidth="1"/>
  </cols>
  <sheetData>
    <row r="1" spans="1:35" ht="21" x14ac:dyDescent="0.35">
      <c r="A1" s="31" t="s">
        <v>38</v>
      </c>
      <c r="B1" s="31"/>
      <c r="C1" s="31"/>
      <c r="D1" s="31"/>
      <c r="E1" s="31"/>
      <c r="F1" s="31"/>
      <c r="G1" s="31"/>
      <c r="H1" s="31"/>
      <c r="I1" s="31"/>
      <c r="J1" s="31"/>
      <c r="K1" s="31"/>
      <c r="L1" s="31"/>
      <c r="M1" s="31"/>
      <c r="N1" s="31"/>
      <c r="O1" s="31"/>
      <c r="P1" s="22"/>
      <c r="Q1" s="22"/>
      <c r="R1" s="22"/>
      <c r="S1" s="22"/>
      <c r="T1" s="22"/>
      <c r="U1" s="22"/>
    </row>
    <row r="2" spans="1:35" ht="15.75" x14ac:dyDescent="0.25">
      <c r="A2" s="81" t="s">
        <v>649</v>
      </c>
      <c r="B2" s="27"/>
      <c r="C2" s="27"/>
      <c r="D2" s="27"/>
      <c r="E2" s="27"/>
      <c r="F2" s="27"/>
      <c r="G2" s="27"/>
      <c r="H2" s="27"/>
      <c r="I2" s="27"/>
      <c r="J2" s="27"/>
      <c r="K2" s="27"/>
      <c r="L2" s="37"/>
      <c r="M2" s="27"/>
      <c r="N2" s="27"/>
      <c r="O2" s="27"/>
      <c r="P2" s="22"/>
      <c r="Q2" s="22"/>
      <c r="R2" s="22"/>
      <c r="S2" s="22"/>
      <c r="T2" s="22"/>
      <c r="U2" s="22"/>
    </row>
    <row r="3" spans="1:35" s="198" customFormat="1" ht="15.95" customHeight="1" x14ac:dyDescent="0.35">
      <c r="A3" s="222" t="s">
        <v>745</v>
      </c>
      <c r="B3" s="223"/>
      <c r="C3" s="223"/>
      <c r="D3" s="223"/>
      <c r="E3" s="223"/>
      <c r="F3" s="223"/>
      <c r="G3" s="223"/>
      <c r="H3" s="224"/>
      <c r="I3" s="224"/>
      <c r="J3" s="224"/>
      <c r="K3" s="224"/>
    </row>
    <row r="4" spans="1:35" s="198" customFormat="1" ht="15.95" customHeight="1" x14ac:dyDescent="0.35">
      <c r="A4" s="222" t="s">
        <v>746</v>
      </c>
      <c r="B4" s="223"/>
      <c r="C4" s="223"/>
      <c r="D4" s="223"/>
      <c r="E4" s="223"/>
      <c r="F4" s="223"/>
      <c r="G4" s="223"/>
      <c r="H4" s="224"/>
      <c r="I4" s="224"/>
      <c r="J4" s="224"/>
      <c r="K4" s="224"/>
    </row>
    <row r="5" spans="1:35" ht="15.75" x14ac:dyDescent="0.25">
      <c r="A5" s="26" t="s">
        <v>751</v>
      </c>
      <c r="B5" s="26"/>
      <c r="C5" s="26"/>
      <c r="D5" s="26"/>
      <c r="E5" s="26"/>
      <c r="F5" s="26"/>
      <c r="G5" s="26"/>
      <c r="H5" s="26"/>
      <c r="I5" s="26"/>
      <c r="J5" s="26"/>
      <c r="K5" s="26"/>
      <c r="L5" s="26"/>
      <c r="M5" s="26"/>
      <c r="N5" s="26"/>
      <c r="O5" s="26"/>
      <c r="P5" s="22"/>
      <c r="Q5" s="22"/>
      <c r="R5" s="22"/>
      <c r="S5" s="22"/>
      <c r="T5" s="22"/>
      <c r="U5" s="22"/>
    </row>
    <row r="6" spans="1:35" ht="81.75" customHeight="1" x14ac:dyDescent="0.25">
      <c r="A6" s="38" t="s">
        <v>295</v>
      </c>
      <c r="B6" s="32" t="s">
        <v>646</v>
      </c>
      <c r="C6" s="32" t="s">
        <v>291</v>
      </c>
      <c r="D6" s="32" t="s">
        <v>500</v>
      </c>
      <c r="E6" s="32" t="s">
        <v>501</v>
      </c>
      <c r="F6" s="32" t="s">
        <v>502</v>
      </c>
      <c r="G6" s="32" t="s">
        <v>503</v>
      </c>
      <c r="H6" s="124" t="s">
        <v>504</v>
      </c>
      <c r="I6" s="38" t="s">
        <v>292</v>
      </c>
      <c r="J6" s="32" t="s">
        <v>293</v>
      </c>
      <c r="K6" s="32" t="s">
        <v>505</v>
      </c>
      <c r="L6" s="125" t="s">
        <v>320</v>
      </c>
      <c r="M6" s="38" t="s">
        <v>294</v>
      </c>
      <c r="N6" s="5"/>
      <c r="O6" s="22"/>
      <c r="P6" s="5"/>
      <c r="Q6" s="22"/>
      <c r="R6" s="22"/>
      <c r="S6" s="22"/>
      <c r="T6" s="22"/>
      <c r="U6" s="22"/>
    </row>
    <row r="7" spans="1:35" ht="15.75" x14ac:dyDescent="0.25">
      <c r="A7" s="120" t="s">
        <v>6</v>
      </c>
      <c r="B7" s="115">
        <v>313135</v>
      </c>
      <c r="C7" s="115">
        <v>7490</v>
      </c>
      <c r="D7" s="115">
        <v>61705</v>
      </c>
      <c r="E7" s="115">
        <v>56365</v>
      </c>
      <c r="F7" s="115">
        <v>46175</v>
      </c>
      <c r="G7" s="115">
        <v>45330</v>
      </c>
      <c r="H7" s="122">
        <v>96070</v>
      </c>
      <c r="I7" s="115">
        <v>125560</v>
      </c>
      <c r="J7" s="115">
        <v>171735</v>
      </c>
      <c r="K7" s="114">
        <v>141400</v>
      </c>
      <c r="L7" s="127">
        <v>0.4</v>
      </c>
      <c r="M7" s="121">
        <v>14</v>
      </c>
      <c r="N7" s="5"/>
      <c r="O7" s="235"/>
      <c r="P7" s="235"/>
      <c r="Q7" s="235"/>
      <c r="R7" s="235"/>
      <c r="S7" s="235"/>
      <c r="T7" s="235"/>
      <c r="U7" s="235"/>
      <c r="V7" s="235"/>
      <c r="W7" s="235"/>
      <c r="X7" s="235"/>
      <c r="Z7" s="22"/>
      <c r="AA7" s="22"/>
      <c r="AB7" s="22"/>
      <c r="AC7" s="22"/>
      <c r="AD7" s="22"/>
      <c r="AE7" s="22"/>
      <c r="AF7" s="22"/>
      <c r="AG7" s="22"/>
      <c r="AH7" s="22"/>
      <c r="AI7" s="22"/>
    </row>
    <row r="8" spans="1:35" ht="15.75" x14ac:dyDescent="0.25">
      <c r="A8" s="41" t="s">
        <v>259</v>
      </c>
      <c r="B8" s="152">
        <v>3365</v>
      </c>
      <c r="C8" s="113">
        <v>100</v>
      </c>
      <c r="D8" s="113">
        <v>1370</v>
      </c>
      <c r="E8" s="113">
        <v>1595</v>
      </c>
      <c r="F8" s="113">
        <v>295</v>
      </c>
      <c r="G8" s="113">
        <v>0</v>
      </c>
      <c r="H8" s="123">
        <v>0</v>
      </c>
      <c r="I8" s="113">
        <v>3070</v>
      </c>
      <c r="J8" s="113">
        <v>3365</v>
      </c>
      <c r="K8" s="113">
        <v>0</v>
      </c>
      <c r="L8" s="126">
        <v>0.91</v>
      </c>
      <c r="M8" s="83">
        <v>7</v>
      </c>
      <c r="N8" s="22"/>
      <c r="O8" s="190"/>
      <c r="P8" s="190"/>
      <c r="Q8" s="235"/>
      <c r="R8" s="190"/>
      <c r="S8" s="190"/>
      <c r="T8" s="190"/>
      <c r="U8" s="190"/>
      <c r="V8" s="190"/>
      <c r="W8" s="190"/>
      <c r="X8" s="190"/>
      <c r="Z8" s="22"/>
      <c r="AA8" s="22"/>
      <c r="AB8" s="22"/>
      <c r="AC8" s="22"/>
      <c r="AD8" s="22"/>
      <c r="AE8" s="22"/>
      <c r="AF8" s="22"/>
      <c r="AG8" s="22"/>
      <c r="AH8" s="22"/>
      <c r="AI8" s="22"/>
    </row>
    <row r="9" spans="1:35" ht="15.75" x14ac:dyDescent="0.25">
      <c r="A9" s="41" t="s">
        <v>260</v>
      </c>
      <c r="B9" s="152">
        <v>8300</v>
      </c>
      <c r="C9" s="113">
        <v>475</v>
      </c>
      <c r="D9" s="113">
        <v>1310</v>
      </c>
      <c r="E9" s="113">
        <v>1310</v>
      </c>
      <c r="F9" s="113">
        <v>3390</v>
      </c>
      <c r="G9" s="113">
        <v>945</v>
      </c>
      <c r="H9" s="123">
        <v>875</v>
      </c>
      <c r="I9" s="113">
        <v>3090</v>
      </c>
      <c r="J9" s="113">
        <v>6480</v>
      </c>
      <c r="K9" s="113">
        <v>1820</v>
      </c>
      <c r="L9" s="126">
        <v>0.37</v>
      </c>
      <c r="M9" s="83">
        <v>12</v>
      </c>
      <c r="N9" s="5"/>
      <c r="O9" s="190"/>
      <c r="P9" s="190"/>
      <c r="Q9" s="235"/>
      <c r="R9" s="190"/>
      <c r="S9" s="190"/>
      <c r="T9" s="190"/>
      <c r="U9" s="190"/>
      <c r="V9" s="190"/>
      <c r="W9" s="190"/>
      <c r="X9" s="190"/>
      <c r="Z9" s="22"/>
      <c r="AA9" s="22"/>
      <c r="AB9" s="22"/>
      <c r="AC9" s="22"/>
      <c r="AD9" s="22"/>
      <c r="AE9" s="22"/>
      <c r="AF9" s="22"/>
      <c r="AG9" s="22"/>
      <c r="AH9" s="22"/>
      <c r="AI9" s="22"/>
    </row>
    <row r="10" spans="1:35" ht="15.75" x14ac:dyDescent="0.25">
      <c r="A10" s="41" t="s">
        <v>261</v>
      </c>
      <c r="B10" s="152">
        <v>3105</v>
      </c>
      <c r="C10" s="113">
        <v>550</v>
      </c>
      <c r="D10" s="113">
        <v>815</v>
      </c>
      <c r="E10" s="113">
        <v>285</v>
      </c>
      <c r="F10" s="113">
        <v>260</v>
      </c>
      <c r="G10" s="113">
        <v>240</v>
      </c>
      <c r="H10" s="123">
        <v>960</v>
      </c>
      <c r="I10" s="113">
        <v>1645</v>
      </c>
      <c r="J10" s="113">
        <v>1905</v>
      </c>
      <c r="K10" s="113">
        <v>1200</v>
      </c>
      <c r="L10" s="126">
        <v>0.53</v>
      </c>
      <c r="M10" s="83">
        <v>9</v>
      </c>
      <c r="N10" s="22"/>
      <c r="O10" s="190"/>
      <c r="P10" s="190"/>
      <c r="Q10" s="235"/>
      <c r="R10" s="190"/>
      <c r="S10" s="190"/>
      <c r="T10" s="190"/>
      <c r="U10" s="190"/>
      <c r="V10" s="190"/>
      <c r="W10" s="190"/>
      <c r="X10" s="190"/>
      <c r="Z10" s="22"/>
      <c r="AA10" s="22"/>
      <c r="AB10" s="22"/>
      <c r="AC10" s="22"/>
      <c r="AD10" s="22"/>
      <c r="AE10" s="22"/>
      <c r="AF10" s="22"/>
      <c r="AG10" s="22"/>
      <c r="AH10" s="22"/>
      <c r="AI10" s="22"/>
    </row>
    <row r="11" spans="1:35" ht="15.75" x14ac:dyDescent="0.25">
      <c r="A11" s="41" t="s">
        <v>264</v>
      </c>
      <c r="B11" s="152">
        <v>2905</v>
      </c>
      <c r="C11" s="113">
        <v>585</v>
      </c>
      <c r="D11" s="113">
        <v>1080</v>
      </c>
      <c r="E11" s="113">
        <v>300</v>
      </c>
      <c r="F11" s="113">
        <v>215</v>
      </c>
      <c r="G11" s="113">
        <v>175</v>
      </c>
      <c r="H11" s="123">
        <v>545</v>
      </c>
      <c r="I11" s="113">
        <v>1970</v>
      </c>
      <c r="J11" s="113">
        <v>2185</v>
      </c>
      <c r="K11" s="113">
        <v>720</v>
      </c>
      <c r="L11" s="126">
        <v>0.68</v>
      </c>
      <c r="M11" s="83">
        <v>3</v>
      </c>
      <c r="N11" s="22"/>
      <c r="O11" s="190"/>
      <c r="P11" s="190"/>
      <c r="Q11" s="235"/>
      <c r="R11" s="190"/>
      <c r="S11" s="190"/>
      <c r="T11" s="190"/>
      <c r="U11" s="190"/>
      <c r="V11" s="190"/>
      <c r="W11" s="190"/>
      <c r="X11" s="190"/>
      <c r="Z11" s="22"/>
      <c r="AA11" s="22"/>
      <c r="AB11" s="22"/>
      <c r="AC11" s="22"/>
      <c r="AD11" s="22"/>
      <c r="AE11" s="22"/>
      <c r="AF11" s="22"/>
      <c r="AG11" s="22"/>
      <c r="AH11" s="22"/>
      <c r="AI11" s="22"/>
    </row>
    <row r="12" spans="1:35" ht="15.75" x14ac:dyDescent="0.25">
      <c r="A12" s="41" t="s">
        <v>265</v>
      </c>
      <c r="B12" s="152">
        <v>3820</v>
      </c>
      <c r="C12" s="113">
        <v>790</v>
      </c>
      <c r="D12" s="113">
        <v>1710</v>
      </c>
      <c r="E12" s="113">
        <v>330</v>
      </c>
      <c r="F12" s="113">
        <v>245</v>
      </c>
      <c r="G12" s="113">
        <v>180</v>
      </c>
      <c r="H12" s="123">
        <v>565</v>
      </c>
      <c r="I12" s="113">
        <v>2830</v>
      </c>
      <c r="J12" s="113">
        <v>3075</v>
      </c>
      <c r="K12" s="113">
        <v>745</v>
      </c>
      <c r="L12" s="126">
        <v>0.74</v>
      </c>
      <c r="M12" s="83">
        <v>1</v>
      </c>
      <c r="N12" s="22"/>
      <c r="O12" s="190"/>
      <c r="P12" s="190"/>
      <c r="Q12" s="235"/>
      <c r="R12" s="190"/>
      <c r="S12" s="190"/>
      <c r="T12" s="190"/>
      <c r="U12" s="190"/>
      <c r="V12" s="190"/>
      <c r="W12" s="190"/>
      <c r="X12" s="190"/>
      <c r="Z12" s="22"/>
      <c r="AA12" s="22"/>
      <c r="AB12" s="22"/>
      <c r="AC12" s="22"/>
      <c r="AD12" s="22"/>
      <c r="AE12" s="22"/>
      <c r="AF12" s="22"/>
      <c r="AG12" s="22"/>
      <c r="AH12" s="22"/>
      <c r="AI12" s="22"/>
    </row>
    <row r="13" spans="1:35" ht="15.75" x14ac:dyDescent="0.25">
      <c r="A13" s="41" t="s">
        <v>266</v>
      </c>
      <c r="B13" s="152">
        <v>21140</v>
      </c>
      <c r="C13" s="113">
        <v>400</v>
      </c>
      <c r="D13" s="113">
        <v>17035</v>
      </c>
      <c r="E13" s="113">
        <v>1945</v>
      </c>
      <c r="F13" s="113">
        <v>950</v>
      </c>
      <c r="G13" s="113">
        <v>420</v>
      </c>
      <c r="H13" s="123">
        <v>390</v>
      </c>
      <c r="I13" s="113">
        <v>19380</v>
      </c>
      <c r="J13" s="113">
        <v>20330</v>
      </c>
      <c r="K13" s="113">
        <v>810</v>
      </c>
      <c r="L13" s="126">
        <v>0.92</v>
      </c>
      <c r="M13" s="83">
        <v>4</v>
      </c>
      <c r="N13" s="22"/>
      <c r="O13" s="190"/>
      <c r="P13" s="190"/>
      <c r="Q13" s="235"/>
      <c r="R13" s="190"/>
      <c r="S13" s="190"/>
      <c r="T13" s="190"/>
      <c r="U13" s="190"/>
      <c r="V13" s="190"/>
      <c r="W13" s="190"/>
      <c r="X13" s="190"/>
      <c r="Z13" s="22"/>
      <c r="AA13" s="22"/>
      <c r="AB13" s="22"/>
      <c r="AC13" s="22"/>
      <c r="AD13" s="22"/>
      <c r="AE13" s="22"/>
      <c r="AF13" s="22"/>
      <c r="AG13" s="22"/>
      <c r="AH13" s="22"/>
      <c r="AI13" s="22"/>
    </row>
    <row r="14" spans="1:35" ht="15.75" x14ac:dyDescent="0.25">
      <c r="A14" s="41" t="s">
        <v>267</v>
      </c>
      <c r="B14" s="152">
        <v>20520</v>
      </c>
      <c r="C14" s="113">
        <v>450</v>
      </c>
      <c r="D14" s="113">
        <v>7410</v>
      </c>
      <c r="E14" s="113">
        <v>9265</v>
      </c>
      <c r="F14" s="113">
        <v>1340</v>
      </c>
      <c r="G14" s="113">
        <v>1080</v>
      </c>
      <c r="H14" s="123">
        <v>970</v>
      </c>
      <c r="I14" s="113">
        <v>17125</v>
      </c>
      <c r="J14" s="113">
        <v>18470</v>
      </c>
      <c r="K14" s="113">
        <v>2050</v>
      </c>
      <c r="L14" s="126">
        <v>0.83</v>
      </c>
      <c r="M14" s="83">
        <v>7</v>
      </c>
      <c r="N14" s="22"/>
      <c r="O14" s="190"/>
      <c r="P14" s="190"/>
      <c r="Q14" s="235"/>
      <c r="R14" s="190"/>
      <c r="S14" s="190"/>
      <c r="T14" s="190"/>
      <c r="U14" s="190"/>
      <c r="V14" s="190"/>
      <c r="W14" s="190"/>
      <c r="X14" s="190"/>
      <c r="Z14" s="22"/>
      <c r="AA14" s="22"/>
      <c r="AB14" s="22"/>
      <c r="AC14" s="22"/>
      <c r="AD14" s="22"/>
      <c r="AE14" s="22"/>
      <c r="AF14" s="22"/>
      <c r="AG14" s="22"/>
      <c r="AH14" s="22"/>
      <c r="AI14" s="22"/>
    </row>
    <row r="15" spans="1:35" ht="15.75" x14ac:dyDescent="0.25">
      <c r="A15" s="41" t="s">
        <v>268</v>
      </c>
      <c r="B15" s="152">
        <v>13030</v>
      </c>
      <c r="C15" s="113">
        <v>1095</v>
      </c>
      <c r="D15" s="113">
        <v>4915</v>
      </c>
      <c r="E15" s="113">
        <v>3510</v>
      </c>
      <c r="F15" s="113">
        <v>925</v>
      </c>
      <c r="G15" s="113">
        <v>895</v>
      </c>
      <c r="H15" s="123">
        <v>1685</v>
      </c>
      <c r="I15" s="113">
        <v>9525</v>
      </c>
      <c r="J15" s="113">
        <v>10450</v>
      </c>
      <c r="K15" s="113">
        <v>2580</v>
      </c>
      <c r="L15" s="126">
        <v>0.73</v>
      </c>
      <c r="M15" s="83">
        <v>6</v>
      </c>
      <c r="N15" s="22"/>
      <c r="O15" s="190"/>
      <c r="P15" s="190"/>
      <c r="Q15" s="235"/>
      <c r="R15" s="190"/>
      <c r="S15" s="190"/>
      <c r="T15" s="190"/>
      <c r="U15" s="190"/>
      <c r="V15" s="190"/>
      <c r="W15" s="190"/>
      <c r="X15" s="190"/>
      <c r="Z15" s="22"/>
      <c r="AA15" s="22"/>
      <c r="AB15" s="22"/>
      <c r="AC15" s="22"/>
      <c r="AD15" s="22"/>
      <c r="AE15" s="22"/>
      <c r="AF15" s="22"/>
      <c r="AG15" s="22"/>
      <c r="AH15" s="22"/>
      <c r="AI15" s="22"/>
    </row>
    <row r="16" spans="1:35" ht="15.75" x14ac:dyDescent="0.25">
      <c r="A16" s="41" t="s">
        <v>269</v>
      </c>
      <c r="B16" s="152">
        <v>7455</v>
      </c>
      <c r="C16" s="113">
        <v>890</v>
      </c>
      <c r="D16" s="113">
        <v>3470</v>
      </c>
      <c r="E16" s="113">
        <v>1375</v>
      </c>
      <c r="F16" s="113">
        <v>505</v>
      </c>
      <c r="G16" s="113">
        <v>235</v>
      </c>
      <c r="H16" s="123">
        <v>980</v>
      </c>
      <c r="I16" s="113">
        <v>5735</v>
      </c>
      <c r="J16" s="113">
        <v>6240</v>
      </c>
      <c r="K16" s="113">
        <v>1215</v>
      </c>
      <c r="L16" s="126">
        <v>0.77</v>
      </c>
      <c r="M16" s="83">
        <v>5</v>
      </c>
      <c r="N16" s="22"/>
      <c r="O16" s="190"/>
      <c r="P16" s="190"/>
      <c r="Q16" s="235"/>
      <c r="R16" s="190"/>
      <c r="S16" s="190"/>
      <c r="T16" s="190"/>
      <c r="U16" s="190"/>
      <c r="V16" s="190"/>
      <c r="W16" s="190"/>
      <c r="X16" s="190"/>
      <c r="Z16" s="22"/>
      <c r="AA16" s="22"/>
      <c r="AB16" s="22"/>
      <c r="AC16" s="22"/>
      <c r="AD16" s="22"/>
      <c r="AE16" s="22"/>
      <c r="AF16" s="22"/>
      <c r="AG16" s="22"/>
      <c r="AH16" s="22"/>
      <c r="AI16" s="22"/>
    </row>
    <row r="17" spans="1:35" ht="15.75" x14ac:dyDescent="0.25">
      <c r="A17" s="41" t="s">
        <v>270</v>
      </c>
      <c r="B17" s="152">
        <v>6565</v>
      </c>
      <c r="C17" s="113">
        <v>50</v>
      </c>
      <c r="D17" s="113">
        <v>430</v>
      </c>
      <c r="E17" s="113">
        <v>3170</v>
      </c>
      <c r="F17" s="113">
        <v>1225</v>
      </c>
      <c r="G17" s="113">
        <v>645</v>
      </c>
      <c r="H17" s="123">
        <v>1045</v>
      </c>
      <c r="I17" s="113">
        <v>3655</v>
      </c>
      <c r="J17" s="113">
        <v>4875</v>
      </c>
      <c r="K17" s="113">
        <v>1690</v>
      </c>
      <c r="L17" s="126">
        <v>0.56000000000000005</v>
      </c>
      <c r="M17" s="83">
        <v>10</v>
      </c>
      <c r="N17" s="22"/>
      <c r="O17" s="190"/>
      <c r="P17" s="190"/>
      <c r="Q17" s="235"/>
      <c r="R17" s="190"/>
      <c r="S17" s="190"/>
      <c r="T17" s="190"/>
      <c r="U17" s="190"/>
      <c r="V17" s="190"/>
      <c r="W17" s="190"/>
      <c r="X17" s="190"/>
      <c r="Z17" s="22"/>
      <c r="AA17" s="22"/>
      <c r="AB17" s="22"/>
      <c r="AC17" s="22"/>
      <c r="AD17" s="22"/>
      <c r="AE17" s="22"/>
      <c r="AF17" s="22"/>
      <c r="AG17" s="22"/>
      <c r="AH17" s="22"/>
      <c r="AI17" s="22"/>
    </row>
    <row r="18" spans="1:35" ht="15.75" x14ac:dyDescent="0.25">
      <c r="A18" s="41" t="s">
        <v>271</v>
      </c>
      <c r="B18" s="152">
        <v>6920</v>
      </c>
      <c r="C18" s="113">
        <v>50</v>
      </c>
      <c r="D18" s="113">
        <v>440</v>
      </c>
      <c r="E18" s="113">
        <v>605</v>
      </c>
      <c r="F18" s="113">
        <v>3850</v>
      </c>
      <c r="G18" s="113">
        <v>595</v>
      </c>
      <c r="H18" s="123">
        <v>1385</v>
      </c>
      <c r="I18" s="113">
        <v>1095</v>
      </c>
      <c r="J18" s="113">
        <v>4945</v>
      </c>
      <c r="K18" s="113">
        <v>1980</v>
      </c>
      <c r="L18" s="126">
        <v>0.16</v>
      </c>
      <c r="M18" s="83">
        <v>13</v>
      </c>
      <c r="N18" s="22"/>
      <c r="O18" s="190"/>
      <c r="P18" s="190"/>
      <c r="Q18" s="235"/>
      <c r="R18" s="190"/>
      <c r="S18" s="190"/>
      <c r="T18" s="190"/>
      <c r="U18" s="190"/>
      <c r="V18" s="190"/>
      <c r="W18" s="190"/>
      <c r="X18" s="190"/>
      <c r="Z18" s="22"/>
      <c r="AA18" s="22"/>
      <c r="AB18" s="22"/>
      <c r="AC18" s="22"/>
      <c r="AD18" s="22"/>
      <c r="AE18" s="22"/>
      <c r="AF18" s="22"/>
      <c r="AG18" s="22"/>
      <c r="AH18" s="22"/>
      <c r="AI18" s="22"/>
    </row>
    <row r="19" spans="1:35" ht="15.75" x14ac:dyDescent="0.25">
      <c r="A19" s="41" t="s">
        <v>272</v>
      </c>
      <c r="B19" s="152">
        <v>8190</v>
      </c>
      <c r="C19" s="113">
        <v>55</v>
      </c>
      <c r="D19" s="113">
        <v>865</v>
      </c>
      <c r="E19" s="113">
        <v>3010</v>
      </c>
      <c r="F19" s="113">
        <v>2635</v>
      </c>
      <c r="G19" s="113">
        <v>415</v>
      </c>
      <c r="H19" s="123">
        <v>1215</v>
      </c>
      <c r="I19" s="113">
        <v>3930</v>
      </c>
      <c r="J19" s="113">
        <v>6565</v>
      </c>
      <c r="K19" s="113">
        <v>1625</v>
      </c>
      <c r="L19" s="126">
        <v>0.48</v>
      </c>
      <c r="M19" s="83">
        <v>11</v>
      </c>
      <c r="N19" s="22"/>
      <c r="O19" s="190"/>
      <c r="P19" s="190"/>
      <c r="Q19" s="235"/>
      <c r="R19" s="190"/>
      <c r="S19" s="190"/>
      <c r="T19" s="190"/>
      <c r="U19" s="190"/>
      <c r="V19" s="190"/>
      <c r="W19" s="190"/>
      <c r="X19" s="190"/>
      <c r="Z19" s="22"/>
      <c r="AA19" s="22"/>
      <c r="AB19" s="22"/>
      <c r="AC19" s="22"/>
      <c r="AD19" s="22"/>
      <c r="AE19" s="22"/>
      <c r="AF19" s="22"/>
      <c r="AG19" s="22"/>
      <c r="AH19" s="22"/>
      <c r="AI19" s="22"/>
    </row>
    <row r="20" spans="1:35" ht="15.75" x14ac:dyDescent="0.25">
      <c r="A20" s="41" t="s">
        <v>273</v>
      </c>
      <c r="B20" s="152">
        <v>6635</v>
      </c>
      <c r="C20" s="113">
        <v>35</v>
      </c>
      <c r="D20" s="113">
        <v>280</v>
      </c>
      <c r="E20" s="113">
        <v>325</v>
      </c>
      <c r="F20" s="113">
        <v>410</v>
      </c>
      <c r="G20" s="113">
        <v>1685</v>
      </c>
      <c r="H20" s="123">
        <v>3900</v>
      </c>
      <c r="I20" s="113">
        <v>640</v>
      </c>
      <c r="J20" s="113">
        <v>1050</v>
      </c>
      <c r="K20" s="113">
        <v>5585</v>
      </c>
      <c r="L20" s="126">
        <v>0.1</v>
      </c>
      <c r="M20" s="83">
        <v>21</v>
      </c>
      <c r="N20" s="22"/>
      <c r="O20" s="190"/>
      <c r="P20" s="190"/>
      <c r="Q20" s="235"/>
      <c r="R20" s="190"/>
      <c r="S20" s="190"/>
      <c r="T20" s="190"/>
      <c r="U20" s="190"/>
      <c r="V20" s="190"/>
      <c r="W20" s="190"/>
      <c r="X20" s="190"/>
      <c r="Z20" s="22"/>
      <c r="AA20" s="22"/>
      <c r="AB20" s="22"/>
      <c r="AC20" s="22"/>
      <c r="AD20" s="22"/>
      <c r="AE20" s="22"/>
      <c r="AF20" s="22"/>
      <c r="AG20" s="22"/>
      <c r="AH20" s="22"/>
      <c r="AI20" s="22"/>
    </row>
    <row r="21" spans="1:35" ht="15.75" x14ac:dyDescent="0.25">
      <c r="A21" s="41" t="s">
        <v>274</v>
      </c>
      <c r="B21" s="152">
        <v>7820</v>
      </c>
      <c r="C21" s="113">
        <v>40</v>
      </c>
      <c r="D21" s="113">
        <v>555</v>
      </c>
      <c r="E21" s="113">
        <v>265</v>
      </c>
      <c r="F21" s="113">
        <v>2330</v>
      </c>
      <c r="G21" s="113">
        <v>1710</v>
      </c>
      <c r="H21" s="123">
        <v>2925</v>
      </c>
      <c r="I21" s="113">
        <v>855</v>
      </c>
      <c r="J21" s="113">
        <v>3180</v>
      </c>
      <c r="K21" s="113">
        <v>4635</v>
      </c>
      <c r="L21" s="126">
        <v>0.11</v>
      </c>
      <c r="M21" s="83">
        <v>18</v>
      </c>
      <c r="N21" s="22"/>
      <c r="O21" s="190"/>
      <c r="P21" s="190"/>
      <c r="Q21" s="235"/>
      <c r="R21" s="190"/>
      <c r="S21" s="190"/>
      <c r="T21" s="190"/>
      <c r="U21" s="190"/>
      <c r="V21" s="190"/>
      <c r="W21" s="190"/>
      <c r="X21" s="190"/>
      <c r="Z21" s="22"/>
      <c r="AA21" s="22"/>
      <c r="AB21" s="22"/>
      <c r="AC21" s="22"/>
      <c r="AD21" s="22"/>
      <c r="AE21" s="22"/>
      <c r="AF21" s="22"/>
      <c r="AG21" s="22"/>
      <c r="AH21" s="22"/>
      <c r="AI21" s="22"/>
    </row>
    <row r="22" spans="1:35" ht="15.75" x14ac:dyDescent="0.25">
      <c r="A22" s="41" t="s">
        <v>262</v>
      </c>
      <c r="B22" s="152">
        <v>7890</v>
      </c>
      <c r="C22" s="113">
        <v>30</v>
      </c>
      <c r="D22" s="113">
        <v>390</v>
      </c>
      <c r="E22" s="113">
        <v>1445</v>
      </c>
      <c r="F22" s="113">
        <v>4230</v>
      </c>
      <c r="G22" s="113">
        <v>495</v>
      </c>
      <c r="H22" s="123">
        <v>1295</v>
      </c>
      <c r="I22" s="113">
        <v>1865</v>
      </c>
      <c r="J22" s="113">
        <v>6095</v>
      </c>
      <c r="K22" s="113">
        <v>1795</v>
      </c>
      <c r="L22" s="126">
        <v>0.24</v>
      </c>
      <c r="M22" s="83">
        <v>13</v>
      </c>
      <c r="N22" s="22"/>
      <c r="O22" s="190"/>
      <c r="P22" s="190"/>
      <c r="Q22" s="235"/>
      <c r="R22" s="190"/>
      <c r="S22" s="190"/>
      <c r="T22" s="190"/>
      <c r="U22" s="190"/>
      <c r="V22" s="190"/>
      <c r="W22" s="190"/>
      <c r="X22" s="190"/>
      <c r="Z22" s="22"/>
      <c r="AA22" s="22"/>
      <c r="AB22" s="22"/>
      <c r="AC22" s="22"/>
      <c r="AD22" s="22"/>
      <c r="AE22" s="22"/>
      <c r="AF22" s="22"/>
      <c r="AG22" s="22"/>
      <c r="AH22" s="22"/>
      <c r="AI22" s="22"/>
    </row>
    <row r="23" spans="1:35" ht="15.75" x14ac:dyDescent="0.25">
      <c r="A23" s="41" t="s">
        <v>275</v>
      </c>
      <c r="B23" s="152">
        <v>9395</v>
      </c>
      <c r="C23" s="113">
        <v>15</v>
      </c>
      <c r="D23" s="113">
        <v>365</v>
      </c>
      <c r="E23" s="113">
        <v>230</v>
      </c>
      <c r="F23" s="113">
        <v>1150</v>
      </c>
      <c r="G23" s="113">
        <v>5035</v>
      </c>
      <c r="H23" s="123">
        <v>2595</v>
      </c>
      <c r="I23" s="113">
        <v>615</v>
      </c>
      <c r="J23" s="113">
        <v>1765</v>
      </c>
      <c r="K23" s="113">
        <v>7630</v>
      </c>
      <c r="L23" s="126">
        <v>7.0000000000000007E-2</v>
      </c>
      <c r="M23" s="83">
        <v>19</v>
      </c>
      <c r="N23" s="22"/>
      <c r="O23" s="190"/>
      <c r="P23" s="190"/>
      <c r="Q23" s="235"/>
      <c r="R23" s="190"/>
      <c r="S23" s="190"/>
      <c r="T23" s="190"/>
      <c r="U23" s="190"/>
      <c r="V23" s="190"/>
      <c r="W23" s="190"/>
      <c r="X23" s="190"/>
      <c r="Z23" s="22"/>
      <c r="AA23" s="22"/>
      <c r="AB23" s="22"/>
      <c r="AC23" s="22"/>
      <c r="AD23" s="22"/>
      <c r="AE23" s="22"/>
      <c r="AF23" s="22"/>
      <c r="AG23" s="22"/>
      <c r="AH23" s="22"/>
      <c r="AI23" s="22"/>
    </row>
    <row r="24" spans="1:35" ht="15.75" x14ac:dyDescent="0.25">
      <c r="A24" s="41" t="s">
        <v>276</v>
      </c>
      <c r="B24" s="152">
        <v>6055</v>
      </c>
      <c r="C24" s="113">
        <v>10</v>
      </c>
      <c r="D24" s="113">
        <v>380</v>
      </c>
      <c r="E24" s="113">
        <v>230</v>
      </c>
      <c r="F24" s="113">
        <v>1965</v>
      </c>
      <c r="G24" s="113">
        <v>1415</v>
      </c>
      <c r="H24" s="123">
        <v>2055</v>
      </c>
      <c r="I24" s="113">
        <v>620</v>
      </c>
      <c r="J24" s="113">
        <v>2585</v>
      </c>
      <c r="K24" s="113">
        <v>3470</v>
      </c>
      <c r="L24" s="126">
        <v>0.1</v>
      </c>
      <c r="M24" s="83">
        <v>16</v>
      </c>
      <c r="N24" s="22"/>
      <c r="O24" s="190"/>
      <c r="P24" s="190"/>
      <c r="Q24" s="235"/>
      <c r="R24" s="190"/>
      <c r="S24" s="190"/>
      <c r="T24" s="190"/>
      <c r="U24" s="190"/>
      <c r="V24" s="190"/>
      <c r="W24" s="190"/>
      <c r="X24" s="190"/>
      <c r="Z24" s="22"/>
      <c r="AA24" s="22"/>
      <c r="AB24" s="22"/>
      <c r="AC24" s="22"/>
      <c r="AD24" s="22"/>
      <c r="AE24" s="22"/>
      <c r="AF24" s="22"/>
      <c r="AG24" s="22"/>
      <c r="AH24" s="22"/>
      <c r="AI24" s="22"/>
    </row>
    <row r="25" spans="1:35" ht="15.75" x14ac:dyDescent="0.25">
      <c r="A25" s="41" t="s">
        <v>277</v>
      </c>
      <c r="B25" s="152">
        <v>6190</v>
      </c>
      <c r="C25" s="113">
        <v>10</v>
      </c>
      <c r="D25" s="113">
        <v>390</v>
      </c>
      <c r="E25" s="113">
        <v>2330</v>
      </c>
      <c r="F25" s="113">
        <v>1345</v>
      </c>
      <c r="G25" s="113">
        <v>415</v>
      </c>
      <c r="H25" s="123">
        <v>1705</v>
      </c>
      <c r="I25" s="113">
        <v>2730</v>
      </c>
      <c r="J25" s="113">
        <v>4070</v>
      </c>
      <c r="K25" s="113">
        <v>2120</v>
      </c>
      <c r="L25" s="126">
        <v>0.44</v>
      </c>
      <c r="M25" s="83">
        <v>11</v>
      </c>
      <c r="N25" s="22"/>
      <c r="O25" s="190"/>
      <c r="P25" s="190"/>
      <c r="Q25" s="235"/>
      <c r="R25" s="190"/>
      <c r="S25" s="190"/>
      <c r="T25" s="190"/>
      <c r="U25" s="190"/>
      <c r="V25" s="190"/>
      <c r="W25" s="190"/>
      <c r="X25" s="190"/>
      <c r="Z25" s="22"/>
      <c r="AA25" s="22"/>
      <c r="AB25" s="22"/>
      <c r="AC25" s="22"/>
      <c r="AD25" s="22"/>
      <c r="AE25" s="22"/>
      <c r="AF25" s="22"/>
      <c r="AG25" s="22"/>
      <c r="AH25" s="22"/>
      <c r="AI25" s="22"/>
    </row>
    <row r="26" spans="1:35" ht="15.75" x14ac:dyDescent="0.25">
      <c r="A26" s="41" t="s">
        <v>278</v>
      </c>
      <c r="B26" s="152">
        <v>10790</v>
      </c>
      <c r="C26" s="113">
        <v>20</v>
      </c>
      <c r="D26" s="113">
        <v>495</v>
      </c>
      <c r="E26" s="113">
        <v>2960</v>
      </c>
      <c r="F26" s="113">
        <v>2750</v>
      </c>
      <c r="G26" s="113">
        <v>2785</v>
      </c>
      <c r="H26" s="123">
        <v>1775</v>
      </c>
      <c r="I26" s="113">
        <v>3475</v>
      </c>
      <c r="J26" s="113">
        <v>6225</v>
      </c>
      <c r="K26" s="113">
        <v>4560</v>
      </c>
      <c r="L26" s="126">
        <v>0.32</v>
      </c>
      <c r="M26" s="83">
        <v>14</v>
      </c>
      <c r="N26" s="22"/>
      <c r="O26" s="190"/>
      <c r="P26" s="190"/>
      <c r="Q26" s="235"/>
      <c r="R26" s="190"/>
      <c r="S26" s="190"/>
      <c r="T26" s="190"/>
      <c r="U26" s="190"/>
      <c r="V26" s="190"/>
      <c r="W26" s="190"/>
      <c r="X26" s="190"/>
      <c r="Z26" s="22"/>
      <c r="AA26" s="22"/>
      <c r="AB26" s="22"/>
      <c r="AC26" s="22"/>
      <c r="AD26" s="22"/>
      <c r="AE26" s="22"/>
      <c r="AF26" s="22"/>
      <c r="AG26" s="22"/>
      <c r="AH26" s="22"/>
      <c r="AI26" s="22"/>
    </row>
    <row r="27" spans="1:35" ht="15.75" x14ac:dyDescent="0.25">
      <c r="A27" s="41" t="s">
        <v>279</v>
      </c>
      <c r="B27" s="152">
        <v>16500</v>
      </c>
      <c r="C27" s="113">
        <v>15</v>
      </c>
      <c r="D27" s="113">
        <v>375</v>
      </c>
      <c r="E27" s="113">
        <v>1370</v>
      </c>
      <c r="F27" s="113">
        <v>1445</v>
      </c>
      <c r="G27" s="113">
        <v>5100</v>
      </c>
      <c r="H27" s="123">
        <v>8200</v>
      </c>
      <c r="I27" s="113">
        <v>1755</v>
      </c>
      <c r="J27" s="113">
        <v>3200</v>
      </c>
      <c r="K27" s="113">
        <v>13300</v>
      </c>
      <c r="L27" s="126">
        <v>0.11</v>
      </c>
      <c r="M27" s="83">
        <v>20</v>
      </c>
      <c r="N27" s="22"/>
      <c r="O27" s="190"/>
      <c r="P27" s="190"/>
      <c r="Q27" s="235"/>
      <c r="R27" s="190"/>
      <c r="S27" s="190"/>
      <c r="T27" s="190"/>
      <c r="U27" s="190"/>
      <c r="V27" s="190"/>
      <c r="W27" s="190"/>
      <c r="X27" s="190"/>
      <c r="Z27" s="22"/>
      <c r="AA27" s="22"/>
      <c r="AB27" s="22"/>
      <c r="AC27" s="22"/>
      <c r="AD27" s="22"/>
      <c r="AE27" s="22"/>
      <c r="AF27" s="22"/>
      <c r="AG27" s="22"/>
      <c r="AH27" s="22"/>
      <c r="AI27" s="22"/>
    </row>
    <row r="28" spans="1:35" ht="15.75" x14ac:dyDescent="0.25">
      <c r="A28" s="41" t="s">
        <v>280</v>
      </c>
      <c r="B28" s="152">
        <v>11300</v>
      </c>
      <c r="C28" s="113">
        <v>895</v>
      </c>
      <c r="D28" s="113">
        <v>2850</v>
      </c>
      <c r="E28" s="113">
        <v>440</v>
      </c>
      <c r="F28" s="113">
        <v>320</v>
      </c>
      <c r="G28" s="113">
        <v>320</v>
      </c>
      <c r="H28" s="123">
        <v>6475</v>
      </c>
      <c r="I28" s="113">
        <v>4185</v>
      </c>
      <c r="J28" s="113">
        <v>4505</v>
      </c>
      <c r="K28" s="113">
        <v>6795</v>
      </c>
      <c r="L28" s="126">
        <v>0.37</v>
      </c>
      <c r="M28" s="83">
        <v>28</v>
      </c>
      <c r="N28" s="22"/>
      <c r="O28" s="190"/>
      <c r="P28" s="190"/>
      <c r="Q28" s="235"/>
      <c r="R28" s="190"/>
      <c r="S28" s="190"/>
      <c r="T28" s="190"/>
      <c r="U28" s="190"/>
      <c r="V28" s="190"/>
      <c r="W28" s="190"/>
      <c r="X28" s="190"/>
      <c r="Z28" s="22"/>
      <c r="AA28" s="22"/>
      <c r="AB28" s="22"/>
      <c r="AC28" s="22"/>
      <c r="AD28" s="22"/>
      <c r="AE28" s="22"/>
      <c r="AF28" s="22"/>
      <c r="AG28" s="22"/>
      <c r="AH28" s="22"/>
      <c r="AI28" s="22"/>
    </row>
    <row r="29" spans="1:35" ht="15.75" x14ac:dyDescent="0.25">
      <c r="A29" s="41" t="s">
        <v>281</v>
      </c>
      <c r="B29" s="152">
        <v>12955</v>
      </c>
      <c r="C29" s="113">
        <v>300</v>
      </c>
      <c r="D29" s="113">
        <v>2660</v>
      </c>
      <c r="E29" s="113">
        <v>970</v>
      </c>
      <c r="F29" s="113">
        <v>990</v>
      </c>
      <c r="G29" s="113">
        <v>2015</v>
      </c>
      <c r="H29" s="123">
        <v>6020</v>
      </c>
      <c r="I29" s="113">
        <v>3930</v>
      </c>
      <c r="J29" s="113">
        <v>4920</v>
      </c>
      <c r="K29" s="113">
        <v>8035</v>
      </c>
      <c r="L29" s="126">
        <v>0.3</v>
      </c>
      <c r="M29" s="83">
        <v>19</v>
      </c>
      <c r="N29" s="22"/>
      <c r="O29" s="190"/>
      <c r="P29" s="190"/>
      <c r="Q29" s="235"/>
      <c r="R29" s="190"/>
      <c r="S29" s="190"/>
      <c r="T29" s="190"/>
      <c r="U29" s="190"/>
      <c r="V29" s="190"/>
      <c r="W29" s="190"/>
      <c r="X29" s="190"/>
      <c r="Z29" s="22"/>
      <c r="AA29" s="22"/>
      <c r="AB29" s="22"/>
      <c r="AC29" s="22"/>
      <c r="AD29" s="22"/>
      <c r="AE29" s="22"/>
      <c r="AF29" s="22"/>
      <c r="AG29" s="22"/>
      <c r="AH29" s="22"/>
      <c r="AI29" s="22"/>
    </row>
    <row r="30" spans="1:35" ht="15.75" x14ac:dyDescent="0.25">
      <c r="A30" s="41" t="s">
        <v>282</v>
      </c>
      <c r="B30" s="152">
        <v>7245</v>
      </c>
      <c r="C30" s="113">
        <v>135</v>
      </c>
      <c r="D30" s="113">
        <v>2375</v>
      </c>
      <c r="E30" s="113">
        <v>830</v>
      </c>
      <c r="F30" s="113">
        <v>540</v>
      </c>
      <c r="G30" s="113">
        <v>490</v>
      </c>
      <c r="H30" s="123">
        <v>2875</v>
      </c>
      <c r="I30" s="113">
        <v>3340</v>
      </c>
      <c r="J30" s="113">
        <v>3880</v>
      </c>
      <c r="K30" s="113">
        <v>3360</v>
      </c>
      <c r="L30" s="126">
        <v>0.46</v>
      </c>
      <c r="M30" s="83">
        <v>13</v>
      </c>
      <c r="N30" s="22"/>
      <c r="O30" s="190"/>
      <c r="P30" s="190"/>
      <c r="Q30" s="235"/>
      <c r="R30" s="190"/>
      <c r="S30" s="190"/>
      <c r="T30" s="190"/>
      <c r="U30" s="190"/>
      <c r="V30" s="190"/>
      <c r="W30" s="190"/>
      <c r="X30" s="190"/>
      <c r="Z30" s="22"/>
      <c r="AA30" s="22"/>
      <c r="AB30" s="22"/>
      <c r="AC30" s="22"/>
      <c r="AD30" s="22"/>
      <c r="AE30" s="22"/>
      <c r="AF30" s="22"/>
      <c r="AG30" s="22"/>
      <c r="AH30" s="22"/>
      <c r="AI30" s="22"/>
    </row>
    <row r="31" spans="1:35" ht="15.75" x14ac:dyDescent="0.25">
      <c r="A31" s="41" t="s">
        <v>283</v>
      </c>
      <c r="B31" s="152">
        <v>6510</v>
      </c>
      <c r="C31" s="113">
        <v>140</v>
      </c>
      <c r="D31" s="113">
        <v>1885</v>
      </c>
      <c r="E31" s="113">
        <v>1385</v>
      </c>
      <c r="F31" s="113">
        <v>995</v>
      </c>
      <c r="G31" s="113">
        <v>285</v>
      </c>
      <c r="H31" s="123">
        <v>1820</v>
      </c>
      <c r="I31" s="113">
        <v>3410</v>
      </c>
      <c r="J31" s="113">
        <v>4400</v>
      </c>
      <c r="K31" s="113">
        <v>2110</v>
      </c>
      <c r="L31" s="126">
        <v>0.52</v>
      </c>
      <c r="M31" s="83">
        <v>10</v>
      </c>
      <c r="N31" s="22"/>
      <c r="O31" s="190"/>
      <c r="P31" s="190"/>
      <c r="Q31" s="235"/>
      <c r="R31" s="190"/>
      <c r="S31" s="190"/>
      <c r="T31" s="190"/>
      <c r="U31" s="190"/>
      <c r="V31" s="190"/>
      <c r="W31" s="190"/>
      <c r="X31" s="190"/>
      <c r="Z31" s="22"/>
      <c r="AA31" s="22"/>
      <c r="AB31" s="22"/>
      <c r="AC31" s="22"/>
      <c r="AD31" s="22"/>
      <c r="AE31" s="22"/>
      <c r="AF31" s="22"/>
      <c r="AG31" s="22"/>
      <c r="AH31" s="22"/>
      <c r="AI31" s="22"/>
    </row>
    <row r="32" spans="1:35" ht="15.75" x14ac:dyDescent="0.25">
      <c r="A32" s="41" t="s">
        <v>284</v>
      </c>
      <c r="B32" s="152">
        <v>8075</v>
      </c>
      <c r="C32" s="113">
        <v>55</v>
      </c>
      <c r="D32" s="113">
        <v>565</v>
      </c>
      <c r="E32" s="113">
        <v>345</v>
      </c>
      <c r="F32" s="113">
        <v>505</v>
      </c>
      <c r="G32" s="113">
        <v>2785</v>
      </c>
      <c r="H32" s="123">
        <v>3820</v>
      </c>
      <c r="I32" s="113">
        <v>965</v>
      </c>
      <c r="J32" s="113">
        <v>1470</v>
      </c>
      <c r="K32" s="113">
        <v>6605</v>
      </c>
      <c r="L32" s="126">
        <v>0.12</v>
      </c>
      <c r="M32" s="83">
        <v>20</v>
      </c>
      <c r="N32" s="22"/>
      <c r="O32" s="190"/>
      <c r="P32" s="190"/>
      <c r="Q32" s="235"/>
      <c r="R32" s="190"/>
      <c r="S32" s="190"/>
      <c r="T32" s="190"/>
      <c r="U32" s="190"/>
      <c r="V32" s="190"/>
      <c r="W32" s="190"/>
      <c r="X32" s="190"/>
      <c r="Z32" s="22"/>
      <c r="AA32" s="22"/>
      <c r="AB32" s="22"/>
      <c r="AC32" s="22"/>
      <c r="AD32" s="22"/>
      <c r="AE32" s="22"/>
      <c r="AF32" s="22"/>
      <c r="AG32" s="22"/>
      <c r="AH32" s="22"/>
      <c r="AI32" s="22"/>
    </row>
    <row r="33" spans="1:35" ht="15.75" x14ac:dyDescent="0.25">
      <c r="A33" s="41" t="s">
        <v>285</v>
      </c>
      <c r="B33" s="152">
        <v>6940</v>
      </c>
      <c r="C33" s="113">
        <v>20</v>
      </c>
      <c r="D33" s="113">
        <v>125</v>
      </c>
      <c r="E33" s="113">
        <v>265</v>
      </c>
      <c r="F33" s="113">
        <v>555</v>
      </c>
      <c r="G33" s="113">
        <v>1680</v>
      </c>
      <c r="H33" s="123">
        <v>4295</v>
      </c>
      <c r="I33" s="113">
        <v>410</v>
      </c>
      <c r="J33" s="113">
        <v>965</v>
      </c>
      <c r="K33" s="113">
        <v>5975</v>
      </c>
      <c r="L33" s="126">
        <v>0.06</v>
      </c>
      <c r="M33" s="83">
        <v>22</v>
      </c>
      <c r="N33" s="22"/>
      <c r="O33" s="190"/>
      <c r="P33" s="190"/>
      <c r="Q33" s="235"/>
      <c r="R33" s="190"/>
      <c r="S33" s="190"/>
      <c r="T33" s="190"/>
      <c r="U33" s="190"/>
      <c r="V33" s="190"/>
      <c r="W33" s="190"/>
      <c r="X33" s="190"/>
      <c r="Z33" s="22"/>
      <c r="AA33" s="22"/>
      <c r="AB33" s="22"/>
      <c r="AC33" s="22"/>
      <c r="AD33" s="22"/>
      <c r="AE33" s="22"/>
      <c r="AF33" s="22"/>
      <c r="AG33" s="22"/>
      <c r="AH33" s="22"/>
      <c r="AI33" s="22"/>
    </row>
    <row r="34" spans="1:35" ht="15.75" x14ac:dyDescent="0.25">
      <c r="A34" s="41" t="s">
        <v>263</v>
      </c>
      <c r="B34" s="152">
        <v>9255</v>
      </c>
      <c r="C34" s="113">
        <v>15</v>
      </c>
      <c r="D34" s="113">
        <v>130</v>
      </c>
      <c r="E34" s="113">
        <v>190</v>
      </c>
      <c r="F34" s="113">
        <v>2390</v>
      </c>
      <c r="G34" s="113">
        <v>3095</v>
      </c>
      <c r="H34" s="123">
        <v>3430</v>
      </c>
      <c r="I34" s="113">
        <v>335</v>
      </c>
      <c r="J34" s="113">
        <v>2725</v>
      </c>
      <c r="K34" s="113">
        <v>6525</v>
      </c>
      <c r="L34" s="126">
        <v>0.04</v>
      </c>
      <c r="M34" s="83">
        <v>17</v>
      </c>
      <c r="N34" s="22"/>
      <c r="O34" s="190"/>
      <c r="P34" s="190"/>
      <c r="Q34" s="235"/>
      <c r="R34" s="190"/>
      <c r="S34" s="190"/>
      <c r="T34" s="190"/>
      <c r="U34" s="190"/>
      <c r="V34" s="190"/>
      <c r="W34" s="190"/>
      <c r="X34" s="190"/>
      <c r="Z34" s="22"/>
      <c r="AA34" s="22"/>
      <c r="AB34" s="22"/>
      <c r="AC34" s="22"/>
      <c r="AD34" s="22"/>
      <c r="AE34" s="22"/>
      <c r="AF34" s="22"/>
      <c r="AG34" s="22"/>
      <c r="AH34" s="22"/>
      <c r="AI34" s="22"/>
    </row>
    <row r="35" spans="1:35" ht="15.75" x14ac:dyDescent="0.25">
      <c r="A35" s="41" t="s">
        <v>286</v>
      </c>
      <c r="B35" s="152">
        <v>10005</v>
      </c>
      <c r="C35" s="113">
        <v>20</v>
      </c>
      <c r="D35" s="113">
        <v>140</v>
      </c>
      <c r="E35" s="113">
        <v>135</v>
      </c>
      <c r="F35" s="113">
        <v>160</v>
      </c>
      <c r="G35" s="113">
        <v>2575</v>
      </c>
      <c r="H35" s="123">
        <v>6980</v>
      </c>
      <c r="I35" s="113">
        <v>295</v>
      </c>
      <c r="J35" s="113">
        <v>455</v>
      </c>
      <c r="K35" s="113">
        <v>9555</v>
      </c>
      <c r="L35" s="126">
        <v>0.03</v>
      </c>
      <c r="M35" s="83">
        <v>26</v>
      </c>
      <c r="N35" s="22"/>
      <c r="O35" s="190"/>
      <c r="P35" s="190"/>
      <c r="Q35" s="235"/>
      <c r="R35" s="190"/>
      <c r="S35" s="190"/>
      <c r="T35" s="190"/>
      <c r="U35" s="190"/>
      <c r="V35" s="190"/>
      <c r="W35" s="190"/>
      <c r="X35" s="190"/>
      <c r="Z35" s="22"/>
      <c r="AA35" s="22"/>
      <c r="AB35" s="22"/>
      <c r="AC35" s="22"/>
      <c r="AD35" s="22"/>
      <c r="AE35" s="22"/>
      <c r="AF35" s="22"/>
      <c r="AG35" s="22"/>
      <c r="AH35" s="22"/>
      <c r="AI35" s="22"/>
    </row>
    <row r="36" spans="1:35" ht="15.75" x14ac:dyDescent="0.25">
      <c r="A36" s="41" t="s">
        <v>287</v>
      </c>
      <c r="B36" s="152">
        <v>9390</v>
      </c>
      <c r="C36" s="113">
        <v>15</v>
      </c>
      <c r="D36" s="113">
        <v>105</v>
      </c>
      <c r="E36" s="113">
        <v>290</v>
      </c>
      <c r="F36" s="113">
        <v>845</v>
      </c>
      <c r="G36" s="113">
        <v>785</v>
      </c>
      <c r="H36" s="123">
        <v>7350</v>
      </c>
      <c r="I36" s="113">
        <v>410</v>
      </c>
      <c r="J36" s="113">
        <v>1255</v>
      </c>
      <c r="K36" s="113">
        <v>8140</v>
      </c>
      <c r="L36" s="126">
        <v>0.04</v>
      </c>
      <c r="M36" s="83">
        <v>28</v>
      </c>
      <c r="N36" s="22"/>
      <c r="O36" s="190"/>
      <c r="P36" s="190"/>
      <c r="Q36" s="235"/>
      <c r="R36" s="190"/>
      <c r="S36" s="190"/>
      <c r="T36" s="190"/>
      <c r="U36" s="190"/>
      <c r="V36" s="190"/>
      <c r="W36" s="190"/>
      <c r="X36" s="190"/>
      <c r="Z36" s="22"/>
      <c r="AA36" s="22"/>
      <c r="AB36" s="22"/>
      <c r="AC36" s="22"/>
      <c r="AD36" s="22"/>
      <c r="AE36" s="22"/>
      <c r="AF36" s="22"/>
      <c r="AG36" s="22"/>
      <c r="AH36" s="22"/>
      <c r="AI36" s="22"/>
    </row>
    <row r="37" spans="1:35" s="22" customFormat="1" ht="15.75" x14ac:dyDescent="0.25">
      <c r="A37" s="41" t="s">
        <v>288</v>
      </c>
      <c r="B37" s="134">
        <v>7815</v>
      </c>
      <c r="C37" s="134">
        <v>70</v>
      </c>
      <c r="D37" s="134">
        <v>1865</v>
      </c>
      <c r="E37" s="134">
        <v>1385</v>
      </c>
      <c r="F37" s="134">
        <v>690</v>
      </c>
      <c r="G37" s="137">
        <v>450</v>
      </c>
      <c r="H37" s="123">
        <v>3355</v>
      </c>
      <c r="I37" s="134">
        <v>3320</v>
      </c>
      <c r="J37" s="134">
        <v>4010</v>
      </c>
      <c r="K37" s="134">
        <v>3805</v>
      </c>
      <c r="L37" s="207">
        <v>0.42</v>
      </c>
      <c r="M37" s="83">
        <v>15</v>
      </c>
      <c r="O37" s="190"/>
      <c r="P37" s="190"/>
      <c r="Q37" s="235"/>
      <c r="R37" s="190"/>
      <c r="S37" s="190"/>
      <c r="T37" s="190"/>
      <c r="U37" s="190"/>
      <c r="V37" s="190"/>
      <c r="W37" s="190"/>
      <c r="X37" s="190"/>
    </row>
    <row r="38" spans="1:35" s="22" customFormat="1" ht="15.75" x14ac:dyDescent="0.25">
      <c r="A38" s="148" t="s">
        <v>683</v>
      </c>
      <c r="B38" s="134">
        <v>16230</v>
      </c>
      <c r="C38" s="134">
        <v>60</v>
      </c>
      <c r="D38" s="134">
        <v>2920</v>
      </c>
      <c r="E38" s="134">
        <v>7115</v>
      </c>
      <c r="F38" s="134">
        <v>2705</v>
      </c>
      <c r="G38" s="137">
        <v>760</v>
      </c>
      <c r="H38" s="123">
        <v>2670</v>
      </c>
      <c r="I38" s="134">
        <v>10095</v>
      </c>
      <c r="J38" s="134">
        <v>12800</v>
      </c>
      <c r="K38" s="134">
        <v>3430</v>
      </c>
      <c r="L38" s="207">
        <v>0.62</v>
      </c>
      <c r="M38" s="83">
        <v>10</v>
      </c>
      <c r="O38" s="190"/>
      <c r="P38" s="190"/>
      <c r="Q38" s="235"/>
      <c r="R38" s="190"/>
      <c r="S38" s="190"/>
      <c r="T38" s="190"/>
      <c r="U38" s="190"/>
      <c r="V38" s="190"/>
      <c r="W38" s="190"/>
      <c r="X38" s="190"/>
    </row>
    <row r="39" spans="1:35" s="22" customFormat="1" ht="15.75" x14ac:dyDescent="0.25">
      <c r="A39" s="41" t="s">
        <v>684</v>
      </c>
      <c r="B39" s="152">
        <v>8525</v>
      </c>
      <c r="C39" s="113">
        <v>30</v>
      </c>
      <c r="D39" s="113">
        <v>935</v>
      </c>
      <c r="E39" s="113">
        <v>3700</v>
      </c>
      <c r="F39" s="113">
        <v>795</v>
      </c>
      <c r="G39" s="113">
        <v>605</v>
      </c>
      <c r="H39" s="123">
        <v>2460</v>
      </c>
      <c r="I39" s="113">
        <v>4665</v>
      </c>
      <c r="J39" s="113">
        <v>5460</v>
      </c>
      <c r="K39" s="113">
        <v>3065</v>
      </c>
      <c r="L39" s="126">
        <v>0.55000000000000004</v>
      </c>
      <c r="M39" s="83">
        <v>9</v>
      </c>
      <c r="O39" s="190"/>
      <c r="P39" s="190"/>
      <c r="Q39" s="235"/>
      <c r="R39" s="190"/>
      <c r="S39" s="190"/>
      <c r="T39" s="190"/>
      <c r="U39" s="190"/>
      <c r="V39" s="190"/>
      <c r="W39" s="190"/>
      <c r="X39" s="190"/>
    </row>
    <row r="40" spans="1:35" ht="15.75" x14ac:dyDescent="0.25">
      <c r="A40" s="41" t="s">
        <v>685</v>
      </c>
      <c r="B40" s="152">
        <v>7560</v>
      </c>
      <c r="C40" s="113">
        <v>30</v>
      </c>
      <c r="D40" s="113">
        <v>930</v>
      </c>
      <c r="E40" s="113">
        <v>2720</v>
      </c>
      <c r="F40" s="113">
        <v>790</v>
      </c>
      <c r="G40" s="113">
        <v>530</v>
      </c>
      <c r="H40" s="123">
        <v>2560</v>
      </c>
      <c r="I40" s="113">
        <v>3685</v>
      </c>
      <c r="J40" s="113">
        <v>4475</v>
      </c>
      <c r="K40" s="113">
        <v>3090</v>
      </c>
      <c r="L40" s="126">
        <v>0.49</v>
      </c>
      <c r="M40" s="83">
        <v>11</v>
      </c>
      <c r="N40" s="77"/>
      <c r="O40" s="190"/>
      <c r="P40" s="190"/>
      <c r="Q40" s="235"/>
      <c r="R40" s="190"/>
      <c r="S40" s="190"/>
      <c r="T40" s="190"/>
      <c r="U40" s="190"/>
      <c r="V40" s="190"/>
      <c r="W40" s="190"/>
      <c r="X40" s="190"/>
      <c r="Z40" s="22"/>
      <c r="AA40" s="22"/>
      <c r="AB40" s="22"/>
      <c r="AC40" s="22"/>
      <c r="AD40" s="22"/>
      <c r="AE40" s="22"/>
      <c r="AF40" s="22"/>
      <c r="AG40" s="22"/>
      <c r="AH40" s="22"/>
      <c r="AI40" s="22"/>
    </row>
    <row r="41" spans="1:35" s="22" customFormat="1" ht="15.75" x14ac:dyDescent="0.25">
      <c r="A41" s="41" t="s">
        <v>742</v>
      </c>
      <c r="B41" s="152">
        <v>5200</v>
      </c>
      <c r="C41" s="113">
        <v>10</v>
      </c>
      <c r="D41" s="113">
        <v>55</v>
      </c>
      <c r="E41" s="113">
        <v>490</v>
      </c>
      <c r="F41" s="113">
        <v>1975</v>
      </c>
      <c r="G41" s="113">
        <v>705</v>
      </c>
      <c r="H41" s="123">
        <v>1970</v>
      </c>
      <c r="I41" s="113">
        <v>555</v>
      </c>
      <c r="J41" s="113">
        <v>2525</v>
      </c>
      <c r="K41" s="113">
        <v>2675</v>
      </c>
      <c r="L41" s="126">
        <v>0.11</v>
      </c>
      <c r="M41" s="83">
        <v>16</v>
      </c>
      <c r="N41" s="198"/>
      <c r="O41" s="190"/>
      <c r="P41" s="190"/>
      <c r="Q41" s="235"/>
      <c r="R41" s="190"/>
      <c r="S41" s="190"/>
      <c r="T41" s="190"/>
      <c r="U41" s="190"/>
      <c r="V41" s="190"/>
      <c r="W41" s="190"/>
      <c r="X41" s="190"/>
      <c r="Y41" s="208"/>
    </row>
    <row r="42" spans="1:35" s="22" customFormat="1" ht="15.75" x14ac:dyDescent="0.25">
      <c r="A42" s="41" t="s">
        <v>743</v>
      </c>
      <c r="B42" s="152">
        <v>4080</v>
      </c>
      <c r="C42" s="113">
        <v>10</v>
      </c>
      <c r="D42" s="113">
        <v>40</v>
      </c>
      <c r="E42" s="113">
        <v>55</v>
      </c>
      <c r="F42" s="113">
        <v>145</v>
      </c>
      <c r="G42" s="113">
        <v>1620</v>
      </c>
      <c r="H42" s="123">
        <v>2215</v>
      </c>
      <c r="I42" s="113">
        <v>100</v>
      </c>
      <c r="J42" s="113">
        <v>245</v>
      </c>
      <c r="K42" s="113">
        <v>3830</v>
      </c>
      <c r="L42" s="126">
        <v>0.02</v>
      </c>
      <c r="M42" s="83">
        <v>21</v>
      </c>
      <c r="N42" s="198"/>
      <c r="O42" s="190"/>
      <c r="P42" s="190"/>
      <c r="Q42" s="235"/>
      <c r="R42" s="190"/>
      <c r="S42" s="190"/>
      <c r="T42" s="190"/>
      <c r="U42" s="190"/>
      <c r="V42" s="190"/>
      <c r="W42" s="190"/>
      <c r="X42" s="190"/>
      <c r="Y42" s="208"/>
    </row>
    <row r="43" spans="1:35" s="22" customFormat="1" ht="15.75" x14ac:dyDescent="0.25">
      <c r="A43" s="41" t="s">
        <v>744</v>
      </c>
      <c r="B43" s="152">
        <v>5455</v>
      </c>
      <c r="C43" s="113">
        <v>10</v>
      </c>
      <c r="D43" s="113">
        <v>60</v>
      </c>
      <c r="E43" s="113">
        <v>195</v>
      </c>
      <c r="F43" s="113">
        <v>310</v>
      </c>
      <c r="G43" s="113">
        <v>2175</v>
      </c>
      <c r="H43" s="123">
        <v>2710</v>
      </c>
      <c r="I43" s="113">
        <v>265</v>
      </c>
      <c r="J43" s="113">
        <v>575</v>
      </c>
      <c r="K43" s="113">
        <v>4885</v>
      </c>
      <c r="L43" s="126">
        <v>0.05</v>
      </c>
      <c r="M43" s="83">
        <v>20</v>
      </c>
      <c r="N43" s="198"/>
      <c r="O43" s="190"/>
      <c r="P43" s="190"/>
      <c r="Q43" s="235"/>
      <c r="R43" s="190"/>
      <c r="S43" s="190"/>
      <c r="T43" s="190"/>
      <c r="U43" s="190"/>
      <c r="V43" s="190"/>
      <c r="W43" s="190"/>
      <c r="X43" s="190"/>
      <c r="Y43" s="208"/>
    </row>
    <row r="44" spans="1:35" s="22" customFormat="1" ht="15.75" x14ac:dyDescent="0.25">
      <c r="A44" s="171" t="s">
        <v>565</v>
      </c>
      <c r="B44" s="98">
        <v>1</v>
      </c>
      <c r="C44" s="98">
        <v>0.02</v>
      </c>
      <c r="D44" s="98">
        <v>0.2</v>
      </c>
      <c r="E44" s="98">
        <v>0.18</v>
      </c>
      <c r="F44" s="98">
        <v>0.15</v>
      </c>
      <c r="G44" s="98">
        <v>0.14000000000000001</v>
      </c>
      <c r="H44" s="126">
        <v>0.31</v>
      </c>
      <c r="I44" s="98">
        <v>0.4</v>
      </c>
      <c r="J44" s="98">
        <v>0.55000000000000004</v>
      </c>
      <c r="K44" s="98">
        <v>0.45</v>
      </c>
      <c r="L44" s="126" t="s">
        <v>566</v>
      </c>
      <c r="M44" s="98" t="s">
        <v>566</v>
      </c>
      <c r="N44" s="77"/>
      <c r="O44" s="190"/>
      <c r="P44" s="190"/>
      <c r="Q44" s="190"/>
      <c r="R44" s="190"/>
      <c r="S44" s="190"/>
      <c r="T44" s="190"/>
      <c r="U44" s="190"/>
      <c r="V44" s="190"/>
      <c r="W44" s="190"/>
      <c r="X44" s="190"/>
    </row>
    <row r="45" spans="1:35" ht="15.75" x14ac:dyDescent="0.25">
      <c r="A45" s="76" t="s">
        <v>8</v>
      </c>
      <c r="B45" s="76"/>
      <c r="C45" s="76"/>
      <c r="D45" s="76"/>
      <c r="E45" s="76"/>
      <c r="F45" s="76"/>
      <c r="G45" s="76"/>
      <c r="H45" s="22"/>
      <c r="I45" s="22"/>
      <c r="J45" s="77"/>
      <c r="K45" s="77"/>
      <c r="L45" s="77"/>
      <c r="M45" s="77"/>
      <c r="N45" s="77"/>
      <c r="O45" s="58"/>
      <c r="P45" s="22"/>
      <c r="Q45" s="22"/>
      <c r="R45" s="22"/>
      <c r="S45" s="22"/>
      <c r="T45" s="22"/>
      <c r="U45" s="22"/>
    </row>
    <row r="46" spans="1:35" ht="258" customHeight="1" x14ac:dyDescent="0.25">
      <c r="A46" s="44" t="s">
        <v>754</v>
      </c>
      <c r="B46" s="45"/>
      <c r="C46" s="45"/>
      <c r="D46" s="45"/>
      <c r="E46" s="45"/>
      <c r="F46" s="45"/>
      <c r="G46" s="45"/>
      <c r="H46" s="76"/>
      <c r="I46" s="76"/>
      <c r="J46" s="58"/>
      <c r="K46" s="58"/>
      <c r="L46" s="58"/>
      <c r="M46" s="58"/>
      <c r="N46" s="58"/>
      <c r="O46" s="78"/>
      <c r="P46" s="22"/>
      <c r="Q46" s="22"/>
      <c r="R46" s="22"/>
      <c r="S46" s="22"/>
      <c r="T46" s="22"/>
      <c r="U46" s="22"/>
    </row>
    <row r="47" spans="1:35" ht="15.75" x14ac:dyDescent="0.25">
      <c r="A47" s="45" t="s">
        <v>643</v>
      </c>
      <c r="B47" s="44"/>
      <c r="C47" s="44"/>
      <c r="D47" s="44"/>
      <c r="E47" s="44"/>
      <c r="F47" s="44"/>
      <c r="G47" s="44"/>
      <c r="H47" s="44"/>
      <c r="I47" s="44"/>
      <c r="J47" s="78"/>
      <c r="K47" s="78"/>
      <c r="L47" s="78"/>
      <c r="M47" s="78"/>
      <c r="N47" s="78"/>
      <c r="O47" s="77"/>
      <c r="P47" s="22"/>
      <c r="Q47" s="22"/>
      <c r="R47" s="22"/>
      <c r="S47" s="22"/>
      <c r="T47" s="22"/>
      <c r="U47" s="22"/>
    </row>
    <row r="48" spans="1:35" ht="15.75" x14ac:dyDescent="0.25">
      <c r="A48" s="64" t="s">
        <v>644</v>
      </c>
      <c r="B48" s="45"/>
      <c r="C48" s="45"/>
      <c r="D48" s="45"/>
      <c r="E48" s="45"/>
      <c r="F48" s="45"/>
      <c r="G48" s="45"/>
      <c r="H48" s="44"/>
      <c r="I48" s="44"/>
      <c r="J48" s="77"/>
      <c r="K48" s="77"/>
      <c r="L48" s="77"/>
      <c r="M48" s="77"/>
      <c r="N48" s="77"/>
      <c r="O48" s="22"/>
      <c r="P48" s="22"/>
      <c r="Q48" s="22"/>
      <c r="R48" s="22"/>
      <c r="S48" s="22"/>
      <c r="T48" s="22"/>
      <c r="U48" s="22"/>
    </row>
    <row r="49" spans="1:21" ht="15.75" x14ac:dyDescent="0.25">
      <c r="A49" s="45" t="s">
        <v>645</v>
      </c>
      <c r="B49" s="44"/>
      <c r="C49" s="44"/>
      <c r="D49" s="44"/>
      <c r="E49" s="44"/>
      <c r="F49" s="44"/>
      <c r="G49" s="44"/>
      <c r="H49" s="45"/>
      <c r="I49" s="45"/>
      <c r="J49" s="22"/>
      <c r="K49" s="22"/>
      <c r="M49" s="22"/>
      <c r="N49" s="22"/>
      <c r="O49" s="22"/>
      <c r="P49" s="22"/>
      <c r="Q49" s="22"/>
      <c r="R49" s="22"/>
      <c r="S49" s="22"/>
      <c r="T49" s="22"/>
      <c r="U49" s="22"/>
    </row>
    <row r="50" spans="1:21" ht="15.75" x14ac:dyDescent="0.25">
      <c r="A50" s="45"/>
      <c r="B50" s="45"/>
      <c r="C50" s="45"/>
      <c r="D50" s="45"/>
      <c r="E50" s="45"/>
      <c r="F50" s="45"/>
      <c r="G50" s="45"/>
      <c r="H50" s="44"/>
      <c r="I50" s="44"/>
      <c r="J50" s="22"/>
      <c r="K50" s="22"/>
      <c r="M50" s="22"/>
      <c r="N50" s="22"/>
    </row>
    <row r="53" spans="1:21" x14ac:dyDescent="0.25">
      <c r="L53" s="128"/>
    </row>
    <row r="54" spans="1:21" x14ac:dyDescent="0.25">
      <c r="L54" s="128"/>
    </row>
    <row r="55" spans="1:21" x14ac:dyDescent="0.25">
      <c r="L55" s="128"/>
    </row>
    <row r="56" spans="1:21" x14ac:dyDescent="0.25">
      <c r="L56" s="128"/>
    </row>
    <row r="57" spans="1:21" x14ac:dyDescent="0.25">
      <c r="L57" s="128"/>
    </row>
    <row r="58" spans="1:21" x14ac:dyDescent="0.25">
      <c r="L58" s="128"/>
    </row>
    <row r="59" spans="1:21" x14ac:dyDescent="0.25">
      <c r="L59" s="128"/>
    </row>
    <row r="60" spans="1:21" x14ac:dyDescent="0.25">
      <c r="L60" s="128"/>
    </row>
    <row r="61" spans="1:21" x14ac:dyDescent="0.25">
      <c r="L61" s="128"/>
    </row>
    <row r="62" spans="1:21" x14ac:dyDescent="0.25">
      <c r="L62" s="128"/>
    </row>
    <row r="63" spans="1:21" x14ac:dyDescent="0.25">
      <c r="L63" s="128"/>
    </row>
    <row r="64" spans="1:21" x14ac:dyDescent="0.25">
      <c r="L64" s="128"/>
    </row>
    <row r="65" spans="12:12" x14ac:dyDescent="0.25">
      <c r="L65" s="128"/>
    </row>
    <row r="66" spans="12:12" x14ac:dyDescent="0.25">
      <c r="L66" s="128"/>
    </row>
    <row r="67" spans="12:12" x14ac:dyDescent="0.25">
      <c r="L67" s="128"/>
    </row>
    <row r="68" spans="12:12" x14ac:dyDescent="0.25">
      <c r="L68" s="128"/>
    </row>
    <row r="69" spans="12:12" x14ac:dyDescent="0.25">
      <c r="L69" s="128"/>
    </row>
    <row r="70" spans="12:12" x14ac:dyDescent="0.25">
      <c r="L70" s="128"/>
    </row>
    <row r="71" spans="12:12" x14ac:dyDescent="0.25">
      <c r="L71" s="128"/>
    </row>
    <row r="72" spans="12:12" x14ac:dyDescent="0.25">
      <c r="L72" s="128"/>
    </row>
    <row r="73" spans="12:12" x14ac:dyDescent="0.25">
      <c r="L73" s="128"/>
    </row>
    <row r="74" spans="12:12" x14ac:dyDescent="0.25">
      <c r="L74" s="128"/>
    </row>
    <row r="75" spans="12:12" x14ac:dyDescent="0.25">
      <c r="L75" s="128"/>
    </row>
    <row r="76" spans="12:12" x14ac:dyDescent="0.25">
      <c r="L76" s="128"/>
    </row>
    <row r="77" spans="12:12" x14ac:dyDescent="0.25">
      <c r="L77" s="128"/>
    </row>
    <row r="78" spans="12:12" x14ac:dyDescent="0.25">
      <c r="L78" s="128"/>
    </row>
    <row r="79" spans="12:12" x14ac:dyDescent="0.25">
      <c r="L79" s="128"/>
    </row>
    <row r="80" spans="12:12" x14ac:dyDescent="0.25">
      <c r="L80" s="128"/>
    </row>
    <row r="81" spans="12:12" x14ac:dyDescent="0.25">
      <c r="L81" s="128"/>
    </row>
    <row r="82" spans="12:12" x14ac:dyDescent="0.25">
      <c r="L82" s="128"/>
    </row>
    <row r="83" spans="12:12" x14ac:dyDescent="0.25">
      <c r="L83" s="128"/>
    </row>
    <row r="84" spans="12:12" x14ac:dyDescent="0.25">
      <c r="L84" s="128"/>
    </row>
    <row r="85" spans="12:12" x14ac:dyDescent="0.25">
      <c r="L85" s="128"/>
    </row>
    <row r="86" spans="12:12" x14ac:dyDescent="0.25">
      <c r="L86" s="128"/>
    </row>
    <row r="87" spans="12:12" x14ac:dyDescent="0.25">
      <c r="L87" s="128"/>
    </row>
    <row r="88" spans="12:12" x14ac:dyDescent="0.25">
      <c r="L88" s="128"/>
    </row>
    <row r="89" spans="12:12" x14ac:dyDescent="0.25">
      <c r="L89" s="128"/>
    </row>
  </sheetData>
  <sheetProtection sheet="1" objects="1" scenarios="1"/>
  <conditionalFormatting sqref="L7:L38">
    <cfRule type="dataBar" priority="11">
      <dataBar>
        <cfvo type="num" val="0"/>
        <cfvo type="num" val="1"/>
        <color rgb="FFB4A9D4"/>
      </dataBar>
      <extLst>
        <ext xmlns:x14="http://schemas.microsoft.com/office/spreadsheetml/2009/9/main" uri="{B025F937-C7B1-47D3-B67F-A62EFF666E3E}">
          <x14:id>{4A318812-9440-4C79-B8F7-030491DE2924}</x14:id>
        </ext>
      </extLst>
    </cfRule>
  </conditionalFormatting>
  <conditionalFormatting sqref="M44">
    <cfRule type="dataBar" priority="10">
      <dataBar>
        <cfvo type="num" val="0"/>
        <cfvo type="num" val="1"/>
        <color rgb="FFB4A9D4"/>
      </dataBar>
      <extLst>
        <ext xmlns:x14="http://schemas.microsoft.com/office/spreadsheetml/2009/9/main" uri="{B025F937-C7B1-47D3-B67F-A62EFF666E3E}">
          <x14:id>{A6024FFB-14D1-42E2-A613-64E04AB4CD82}</x14:id>
        </ext>
      </extLst>
    </cfRule>
  </conditionalFormatting>
  <conditionalFormatting sqref="B44:G44 I44:K44">
    <cfRule type="dataBar" priority="7">
      <dataBar>
        <cfvo type="num" val="0"/>
        <cfvo type="num" val="1"/>
        <color rgb="FFB4A9D4"/>
      </dataBar>
      <extLst>
        <ext xmlns:x14="http://schemas.microsoft.com/office/spreadsheetml/2009/9/main" uri="{B025F937-C7B1-47D3-B67F-A62EFF666E3E}">
          <x14:id>{AD69E9BC-F351-4D3F-84A1-39D76244516D}</x14:id>
        </ext>
      </extLst>
    </cfRule>
  </conditionalFormatting>
  <conditionalFormatting sqref="H44">
    <cfRule type="dataBar" priority="6">
      <dataBar>
        <cfvo type="num" val="0"/>
        <cfvo type="num" val="1"/>
        <color rgb="FFB4A9D4"/>
      </dataBar>
      <extLst>
        <ext xmlns:x14="http://schemas.microsoft.com/office/spreadsheetml/2009/9/main" uri="{B025F937-C7B1-47D3-B67F-A62EFF666E3E}">
          <x14:id>{44B3C0B1-8FE7-45B0-93DF-530311A54D2B}</x14:id>
        </ext>
      </extLst>
    </cfRule>
  </conditionalFormatting>
  <conditionalFormatting sqref="L44">
    <cfRule type="dataBar" priority="5">
      <dataBar>
        <cfvo type="num" val="0"/>
        <cfvo type="num" val="1"/>
        <color rgb="FFB4A9D4"/>
      </dataBar>
      <extLst>
        <ext xmlns:x14="http://schemas.microsoft.com/office/spreadsheetml/2009/9/main" uri="{B025F937-C7B1-47D3-B67F-A62EFF666E3E}">
          <x14:id>{A61C630B-0164-4D3D-811E-9EF9CA654121}</x14:id>
        </ext>
      </extLst>
    </cfRule>
  </conditionalFormatting>
  <conditionalFormatting sqref="L39:L43">
    <cfRule type="dataBar" priority="2">
      <dataBar>
        <cfvo type="num" val="0"/>
        <cfvo type="num" val="1"/>
        <color rgb="FFB4A9D4"/>
      </dataBar>
      <extLst>
        <ext xmlns:x14="http://schemas.microsoft.com/office/spreadsheetml/2009/9/main" uri="{B025F937-C7B1-47D3-B67F-A62EFF666E3E}">
          <x14:id>{65806BD0-AEAD-4260-A529-B4B11CDA2B4D}</x14:id>
        </ext>
      </extLst>
    </cfRule>
  </conditionalFormatting>
  <conditionalFormatting sqref="O7:X44">
    <cfRule type="cellIs" dxfId="0" priority="1" operator="between">
      <formula>1</formula>
      <formula>2</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A318812-9440-4C79-B8F7-030491DE2924}">
            <x14:dataBar minLength="0" maxLength="100" gradient="0">
              <x14:cfvo type="num">
                <xm:f>0</xm:f>
              </x14:cfvo>
              <x14:cfvo type="num">
                <xm:f>1</xm:f>
              </x14:cfvo>
              <x14:negativeFillColor rgb="FFFF0000"/>
              <x14:axisColor rgb="FF000000"/>
            </x14:dataBar>
          </x14:cfRule>
          <xm:sqref>L7:L38</xm:sqref>
        </x14:conditionalFormatting>
        <x14:conditionalFormatting xmlns:xm="http://schemas.microsoft.com/office/excel/2006/main">
          <x14:cfRule type="dataBar" id="{A6024FFB-14D1-42E2-A613-64E04AB4CD82}">
            <x14:dataBar minLength="0" maxLength="100" gradient="0">
              <x14:cfvo type="num">
                <xm:f>0</xm:f>
              </x14:cfvo>
              <x14:cfvo type="num">
                <xm:f>1</xm:f>
              </x14:cfvo>
              <x14:negativeFillColor rgb="FFFF0000"/>
              <x14:axisColor rgb="FF000000"/>
            </x14:dataBar>
          </x14:cfRule>
          <xm:sqref>M44</xm:sqref>
        </x14:conditionalFormatting>
        <x14:conditionalFormatting xmlns:xm="http://schemas.microsoft.com/office/excel/2006/main">
          <x14:cfRule type="dataBar" id="{AD69E9BC-F351-4D3F-84A1-39D76244516D}">
            <x14:dataBar minLength="0" maxLength="100" gradient="0">
              <x14:cfvo type="num">
                <xm:f>0</xm:f>
              </x14:cfvo>
              <x14:cfvo type="num">
                <xm:f>1</xm:f>
              </x14:cfvo>
              <x14:negativeFillColor rgb="FFFF0000"/>
              <x14:axisColor rgb="FF000000"/>
            </x14:dataBar>
          </x14:cfRule>
          <xm:sqref>B44:G44 I44:K44</xm:sqref>
        </x14:conditionalFormatting>
        <x14:conditionalFormatting xmlns:xm="http://schemas.microsoft.com/office/excel/2006/main">
          <x14:cfRule type="dataBar" id="{44B3C0B1-8FE7-45B0-93DF-530311A54D2B}">
            <x14:dataBar minLength="0" maxLength="100" gradient="0">
              <x14:cfvo type="num">
                <xm:f>0</xm:f>
              </x14:cfvo>
              <x14:cfvo type="num">
                <xm:f>1</xm:f>
              </x14:cfvo>
              <x14:negativeFillColor rgb="FFFF0000"/>
              <x14:axisColor rgb="FF000000"/>
            </x14:dataBar>
          </x14:cfRule>
          <xm:sqref>H44</xm:sqref>
        </x14:conditionalFormatting>
        <x14:conditionalFormatting xmlns:xm="http://schemas.microsoft.com/office/excel/2006/main">
          <x14:cfRule type="dataBar" id="{A61C630B-0164-4D3D-811E-9EF9CA654121}">
            <x14:dataBar minLength="0" maxLength="100" gradient="0">
              <x14:cfvo type="num">
                <xm:f>0</xm:f>
              </x14:cfvo>
              <x14:cfvo type="num">
                <xm:f>1</xm:f>
              </x14:cfvo>
              <x14:negativeFillColor rgb="FFFF0000"/>
              <x14:axisColor rgb="FF000000"/>
            </x14:dataBar>
          </x14:cfRule>
          <xm:sqref>L44</xm:sqref>
        </x14:conditionalFormatting>
        <x14:conditionalFormatting xmlns:xm="http://schemas.microsoft.com/office/excel/2006/main">
          <x14:cfRule type="dataBar" id="{65806BD0-AEAD-4260-A529-B4B11CDA2B4D}">
            <x14:dataBar minLength="0" maxLength="100" gradient="0">
              <x14:cfvo type="num">
                <xm:f>0</xm:f>
              </x14:cfvo>
              <x14:cfvo type="num">
                <xm:f>1</xm:f>
              </x14:cfvo>
              <x14:negativeFillColor rgb="FFFF0000"/>
              <x14:axisColor rgb="FF000000"/>
            </x14:dataBar>
          </x14:cfRule>
          <xm:sqref>L39:L43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55"/>
  <sheetViews>
    <sheetView zoomScale="75" zoomScaleNormal="75" workbookViewId="0"/>
  </sheetViews>
  <sheetFormatPr defaultRowHeight="15" x14ac:dyDescent="0.25"/>
  <cols>
    <col min="1" max="1" width="41" customWidth="1"/>
    <col min="2" max="9" width="15" customWidth="1"/>
    <col min="10" max="10" width="13.140625" customWidth="1"/>
  </cols>
  <sheetData>
    <row r="1" spans="1:44" ht="21" x14ac:dyDescent="0.35">
      <c r="A1" s="21" t="s">
        <v>300</v>
      </c>
      <c r="B1" s="85"/>
      <c r="C1" s="85"/>
      <c r="D1" s="85"/>
      <c r="E1" s="85"/>
      <c r="F1" s="85"/>
      <c r="G1" s="85"/>
      <c r="H1" s="30"/>
      <c r="I1" s="30"/>
      <c r="J1" s="30"/>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row>
    <row r="2" spans="1:44" ht="15.75" x14ac:dyDescent="0.25">
      <c r="A2" s="81" t="s">
        <v>506</v>
      </c>
      <c r="B2" s="63"/>
      <c r="C2" s="63"/>
      <c r="D2" s="63"/>
      <c r="E2" s="63"/>
      <c r="F2" s="63"/>
      <c r="G2" s="63"/>
      <c r="H2" s="30"/>
      <c r="I2" s="30"/>
      <c r="J2" s="30"/>
      <c r="K2" s="70"/>
      <c r="L2" s="70"/>
      <c r="M2" s="70"/>
      <c r="N2" s="70"/>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s="198" customFormat="1" ht="15.95" customHeight="1" x14ac:dyDescent="0.35">
      <c r="A3" s="222" t="s">
        <v>745</v>
      </c>
      <c r="B3" s="223"/>
      <c r="C3" s="223"/>
      <c r="D3" s="223"/>
      <c r="E3" s="223"/>
      <c r="F3" s="223"/>
      <c r="G3" s="223"/>
      <c r="H3" s="224"/>
      <c r="I3" s="224"/>
      <c r="J3" s="224"/>
      <c r="K3" s="224"/>
    </row>
    <row r="4" spans="1:44" s="198" customFormat="1" ht="15.95" customHeight="1" x14ac:dyDescent="0.35">
      <c r="A4" s="222" t="s">
        <v>746</v>
      </c>
      <c r="B4" s="223"/>
      <c r="C4" s="223"/>
      <c r="D4" s="223"/>
      <c r="E4" s="223"/>
      <c r="F4" s="223"/>
      <c r="G4" s="223"/>
      <c r="H4" s="224"/>
      <c r="I4" s="224"/>
      <c r="J4" s="224"/>
      <c r="K4" s="224"/>
    </row>
    <row r="5" spans="1:44" ht="16.5" customHeight="1" x14ac:dyDescent="0.25">
      <c r="A5" s="26" t="s">
        <v>446</v>
      </c>
      <c r="B5" s="63"/>
      <c r="C5" s="63"/>
      <c r="D5" s="63"/>
      <c r="E5" s="63"/>
      <c r="F5" s="63"/>
      <c r="G5" s="63"/>
      <c r="H5" s="30"/>
      <c r="I5" s="30"/>
      <c r="J5" s="30"/>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row>
    <row r="6" spans="1:44" ht="96.75" customHeight="1" x14ac:dyDescent="0.25">
      <c r="A6" s="38" t="s">
        <v>302</v>
      </c>
      <c r="B6" s="102" t="s">
        <v>301</v>
      </c>
      <c r="C6" s="102" t="s">
        <v>651</v>
      </c>
      <c r="D6" s="102" t="s">
        <v>652</v>
      </c>
      <c r="E6" s="102" t="s">
        <v>653</v>
      </c>
      <c r="F6" s="102" t="s">
        <v>778</v>
      </c>
      <c r="G6" s="102" t="s">
        <v>321</v>
      </c>
      <c r="H6" s="102" t="s">
        <v>322</v>
      </c>
      <c r="I6" s="102" t="s">
        <v>323</v>
      </c>
      <c r="J6" s="102" t="s">
        <v>324</v>
      </c>
      <c r="K6" s="68"/>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row>
    <row r="7" spans="1:44" ht="15.75" x14ac:dyDescent="0.25">
      <c r="A7" s="151" t="s">
        <v>6</v>
      </c>
      <c r="B7" s="168">
        <v>76612728</v>
      </c>
      <c r="C7" s="159">
        <v>22282506</v>
      </c>
      <c r="D7" s="159">
        <v>16473050</v>
      </c>
      <c r="E7" s="159">
        <v>14493308</v>
      </c>
      <c r="F7" s="159">
        <v>23363865</v>
      </c>
      <c r="G7" s="158">
        <v>0.28999999999999998</v>
      </c>
      <c r="H7" s="158">
        <v>0.22</v>
      </c>
      <c r="I7" s="158">
        <v>0.19</v>
      </c>
      <c r="J7" s="158">
        <v>0.3</v>
      </c>
      <c r="K7" s="27"/>
      <c r="L7" s="190"/>
      <c r="M7" s="190"/>
      <c r="N7" s="190"/>
      <c r="O7" s="190"/>
      <c r="P7" s="190"/>
      <c r="Q7" s="191"/>
      <c r="R7" s="191"/>
      <c r="S7" s="191"/>
      <c r="T7" s="191"/>
      <c r="U7" s="27"/>
      <c r="V7" s="27"/>
      <c r="W7" s="37"/>
      <c r="X7" s="37"/>
      <c r="Y7" s="37"/>
      <c r="Z7" s="37"/>
      <c r="AA7" s="37"/>
      <c r="AB7" s="37"/>
      <c r="AC7" s="37"/>
      <c r="AD7" s="37"/>
      <c r="AE7" s="37"/>
      <c r="AF7" s="27"/>
      <c r="AG7" s="27"/>
      <c r="AH7" s="27"/>
      <c r="AI7" s="27"/>
      <c r="AJ7" s="27"/>
      <c r="AK7" s="27"/>
      <c r="AL7" s="27"/>
      <c r="AM7" s="27"/>
      <c r="AN7" s="27"/>
      <c r="AO7" s="27"/>
      <c r="AP7" s="27"/>
      <c r="AQ7" s="27"/>
      <c r="AR7" s="27"/>
    </row>
    <row r="8" spans="1:44" ht="15.75" x14ac:dyDescent="0.25">
      <c r="A8" s="61" t="s">
        <v>507</v>
      </c>
      <c r="B8" s="169">
        <v>2396683</v>
      </c>
      <c r="C8" s="160">
        <v>732627</v>
      </c>
      <c r="D8" s="160">
        <v>517498</v>
      </c>
      <c r="E8" s="160">
        <v>420663</v>
      </c>
      <c r="F8" s="160">
        <v>725896</v>
      </c>
      <c r="G8" s="75">
        <v>0.31</v>
      </c>
      <c r="H8" s="75">
        <v>0.22</v>
      </c>
      <c r="I8" s="75">
        <v>0.18</v>
      </c>
      <c r="J8" s="75">
        <v>0.3</v>
      </c>
      <c r="K8" s="27"/>
      <c r="L8" s="190"/>
      <c r="M8" s="190"/>
      <c r="N8" s="190"/>
      <c r="O8" s="190"/>
      <c r="P8" s="190"/>
      <c r="Q8" s="191"/>
      <c r="R8" s="191"/>
      <c r="S8" s="191"/>
      <c r="T8" s="191"/>
      <c r="U8" s="27"/>
      <c r="V8" s="37"/>
      <c r="W8" s="37"/>
      <c r="X8" s="37"/>
      <c r="Y8" s="37"/>
      <c r="Z8" s="37"/>
      <c r="AA8" s="37"/>
      <c r="AB8" s="37"/>
      <c r="AC8" s="37"/>
      <c r="AD8" s="37"/>
      <c r="AE8" s="27"/>
      <c r="AF8" s="27"/>
      <c r="AG8" s="27"/>
      <c r="AH8" s="27"/>
      <c r="AI8" s="27"/>
      <c r="AJ8" s="27"/>
      <c r="AK8" s="27"/>
      <c r="AL8" s="27"/>
      <c r="AM8" s="27"/>
      <c r="AN8" s="27"/>
      <c r="AO8" s="27"/>
      <c r="AP8" s="27"/>
      <c r="AQ8" s="27"/>
      <c r="AR8" s="27"/>
    </row>
    <row r="9" spans="1:44" ht="15.75" x14ac:dyDescent="0.25">
      <c r="A9" s="61" t="s">
        <v>508</v>
      </c>
      <c r="B9" s="169">
        <v>1939890</v>
      </c>
      <c r="C9" s="160">
        <v>540501</v>
      </c>
      <c r="D9" s="160">
        <v>443125</v>
      </c>
      <c r="E9" s="160">
        <v>381828</v>
      </c>
      <c r="F9" s="160">
        <v>574436</v>
      </c>
      <c r="G9" s="75">
        <v>0.28000000000000003</v>
      </c>
      <c r="H9" s="75">
        <v>0.23</v>
      </c>
      <c r="I9" s="75">
        <v>0.2</v>
      </c>
      <c r="J9" s="75">
        <v>0.3</v>
      </c>
      <c r="K9" s="27"/>
      <c r="L9" s="190"/>
      <c r="M9" s="190"/>
      <c r="N9" s="190"/>
      <c r="O9" s="190"/>
      <c r="P9" s="190"/>
      <c r="Q9" s="191"/>
      <c r="R9" s="191"/>
      <c r="S9" s="191"/>
      <c r="T9" s="191"/>
      <c r="U9" s="27"/>
      <c r="V9" s="37"/>
      <c r="W9" s="37"/>
      <c r="X9" s="37"/>
      <c r="Y9" s="37"/>
      <c r="Z9" s="37"/>
      <c r="AA9" s="37"/>
      <c r="AB9" s="37"/>
      <c r="AC9" s="37"/>
      <c r="AD9" s="37"/>
      <c r="AE9" s="27"/>
      <c r="AF9" s="27"/>
      <c r="AG9" s="27"/>
      <c r="AH9" s="27"/>
      <c r="AI9" s="27"/>
      <c r="AJ9" s="27"/>
      <c r="AK9" s="27"/>
      <c r="AL9" s="27"/>
      <c r="AM9" s="27"/>
      <c r="AN9" s="27"/>
      <c r="AO9" s="27"/>
      <c r="AP9" s="27"/>
      <c r="AQ9" s="27"/>
      <c r="AR9" s="27"/>
    </row>
    <row r="10" spans="1:44" ht="15.75" x14ac:dyDescent="0.25">
      <c r="A10" s="61" t="s">
        <v>509</v>
      </c>
      <c r="B10" s="169">
        <v>1518798</v>
      </c>
      <c r="C10" s="160">
        <v>445311</v>
      </c>
      <c r="D10" s="160">
        <v>327468</v>
      </c>
      <c r="E10" s="160">
        <v>287618</v>
      </c>
      <c r="F10" s="160">
        <v>458402</v>
      </c>
      <c r="G10" s="75">
        <v>0.28999999999999998</v>
      </c>
      <c r="H10" s="75">
        <v>0.22</v>
      </c>
      <c r="I10" s="75">
        <v>0.19</v>
      </c>
      <c r="J10" s="75">
        <v>0.3</v>
      </c>
      <c r="K10" s="27"/>
      <c r="L10" s="190"/>
      <c r="M10" s="190"/>
      <c r="N10" s="190"/>
      <c r="O10" s="190"/>
      <c r="P10" s="190"/>
      <c r="Q10" s="191"/>
      <c r="R10" s="191"/>
      <c r="S10" s="191"/>
      <c r="T10" s="191"/>
      <c r="U10" s="27"/>
      <c r="V10" s="37"/>
      <c r="W10" s="37"/>
      <c r="X10" s="37"/>
      <c r="Y10" s="37"/>
      <c r="Z10" s="37"/>
      <c r="AA10" s="37"/>
      <c r="AB10" s="37"/>
      <c r="AC10" s="37"/>
      <c r="AD10" s="37"/>
      <c r="AE10" s="27"/>
      <c r="AF10" s="27"/>
      <c r="AG10" s="27"/>
      <c r="AH10" s="27"/>
      <c r="AI10" s="27"/>
      <c r="AJ10" s="27"/>
      <c r="AK10" s="27"/>
      <c r="AL10" s="27"/>
      <c r="AM10" s="27"/>
      <c r="AN10" s="27"/>
      <c r="AO10" s="27"/>
      <c r="AP10" s="27"/>
      <c r="AQ10" s="27"/>
      <c r="AR10" s="27"/>
    </row>
    <row r="11" spans="1:44" ht="15.75" x14ac:dyDescent="0.25">
      <c r="A11" s="61" t="s">
        <v>510</v>
      </c>
      <c r="B11" s="169">
        <v>852098</v>
      </c>
      <c r="C11" s="160">
        <v>246843</v>
      </c>
      <c r="D11" s="160">
        <v>196218</v>
      </c>
      <c r="E11" s="160">
        <v>181740</v>
      </c>
      <c r="F11" s="160">
        <v>227297</v>
      </c>
      <c r="G11" s="75">
        <v>0.28999999999999998</v>
      </c>
      <c r="H11" s="75">
        <v>0.23</v>
      </c>
      <c r="I11" s="75">
        <v>0.21</v>
      </c>
      <c r="J11" s="75">
        <v>0.27</v>
      </c>
      <c r="K11" s="27"/>
      <c r="L11" s="190"/>
      <c r="M11" s="190"/>
      <c r="N11" s="190"/>
      <c r="O11" s="190"/>
      <c r="P11" s="190"/>
      <c r="Q11" s="191"/>
      <c r="R11" s="191"/>
      <c r="S11" s="191"/>
      <c r="T11" s="191"/>
      <c r="U11" s="27"/>
      <c r="V11" s="37"/>
      <c r="W11" s="37"/>
      <c r="X11" s="37"/>
      <c r="Y11" s="37"/>
      <c r="Z11" s="37"/>
      <c r="AA11" s="37"/>
      <c r="AB11" s="37"/>
      <c r="AC11" s="37"/>
      <c r="AD11" s="37"/>
      <c r="AE11" s="27"/>
      <c r="AF11" s="27"/>
      <c r="AG11" s="27"/>
      <c r="AH11" s="27"/>
      <c r="AI11" s="27"/>
      <c r="AJ11" s="27"/>
      <c r="AK11" s="27"/>
      <c r="AL11" s="27"/>
      <c r="AM11" s="27"/>
      <c r="AN11" s="27"/>
      <c r="AO11" s="27"/>
      <c r="AP11" s="27"/>
      <c r="AQ11" s="27"/>
      <c r="AR11" s="27"/>
    </row>
    <row r="12" spans="1:44" ht="15.75" x14ac:dyDescent="0.25">
      <c r="A12" s="61" t="s">
        <v>511</v>
      </c>
      <c r="B12" s="169">
        <v>884005</v>
      </c>
      <c r="C12" s="160">
        <v>251820</v>
      </c>
      <c r="D12" s="160">
        <v>182198</v>
      </c>
      <c r="E12" s="160">
        <v>173425</v>
      </c>
      <c r="F12" s="160">
        <v>276563</v>
      </c>
      <c r="G12" s="75">
        <v>0.28000000000000003</v>
      </c>
      <c r="H12" s="75">
        <v>0.21</v>
      </c>
      <c r="I12" s="75">
        <v>0.2</v>
      </c>
      <c r="J12" s="75">
        <v>0.31</v>
      </c>
      <c r="K12" s="27"/>
      <c r="L12" s="190"/>
      <c r="M12" s="190"/>
      <c r="N12" s="190"/>
      <c r="O12" s="190"/>
      <c r="P12" s="190"/>
      <c r="Q12" s="191"/>
      <c r="R12" s="191"/>
      <c r="S12" s="191"/>
      <c r="T12" s="191"/>
      <c r="U12" s="27"/>
      <c r="V12" s="37"/>
      <c r="W12" s="37"/>
      <c r="X12" s="37"/>
      <c r="Y12" s="37"/>
      <c r="Z12" s="37"/>
      <c r="AA12" s="37"/>
      <c r="AB12" s="37"/>
      <c r="AC12" s="37"/>
      <c r="AD12" s="37"/>
      <c r="AE12" s="27"/>
      <c r="AF12" s="27"/>
      <c r="AG12" s="27"/>
      <c r="AH12" s="27"/>
      <c r="AI12" s="27"/>
      <c r="AJ12" s="27"/>
      <c r="AK12" s="27"/>
      <c r="AL12" s="27"/>
      <c r="AM12" s="27"/>
      <c r="AN12" s="27"/>
      <c r="AO12" s="27"/>
      <c r="AP12" s="27"/>
      <c r="AQ12" s="27"/>
      <c r="AR12" s="27"/>
    </row>
    <row r="13" spans="1:44" ht="15.75" x14ac:dyDescent="0.25">
      <c r="A13" s="61" t="s">
        <v>512</v>
      </c>
      <c r="B13" s="169">
        <v>1997101</v>
      </c>
      <c r="C13" s="160">
        <v>559047</v>
      </c>
      <c r="D13" s="160">
        <v>461018</v>
      </c>
      <c r="E13" s="160">
        <v>387278</v>
      </c>
      <c r="F13" s="160">
        <v>589759</v>
      </c>
      <c r="G13" s="75">
        <v>0.28000000000000003</v>
      </c>
      <c r="H13" s="75">
        <v>0.23</v>
      </c>
      <c r="I13" s="75">
        <v>0.19</v>
      </c>
      <c r="J13" s="75">
        <v>0.3</v>
      </c>
      <c r="K13" s="27"/>
      <c r="L13" s="190"/>
      <c r="M13" s="190"/>
      <c r="N13" s="190"/>
      <c r="O13" s="190"/>
      <c r="P13" s="190"/>
      <c r="Q13" s="191"/>
      <c r="R13" s="191"/>
      <c r="S13" s="191"/>
      <c r="T13" s="191"/>
      <c r="U13" s="27"/>
      <c r="V13" s="37"/>
      <c r="W13" s="37"/>
      <c r="X13" s="37"/>
      <c r="Y13" s="37"/>
      <c r="Z13" s="37"/>
      <c r="AA13" s="37"/>
      <c r="AB13" s="37"/>
      <c r="AC13" s="37"/>
      <c r="AD13" s="37"/>
      <c r="AE13" s="27"/>
      <c r="AF13" s="27"/>
      <c r="AG13" s="27"/>
      <c r="AH13" s="27"/>
      <c r="AI13" s="27"/>
      <c r="AJ13" s="27"/>
      <c r="AK13" s="27"/>
      <c r="AL13" s="27"/>
      <c r="AM13" s="27"/>
      <c r="AN13" s="27"/>
      <c r="AO13" s="27"/>
      <c r="AP13" s="27"/>
      <c r="AQ13" s="27"/>
      <c r="AR13" s="27"/>
    </row>
    <row r="14" spans="1:44" ht="15.75" x14ac:dyDescent="0.25">
      <c r="A14" s="61" t="s">
        <v>513</v>
      </c>
      <c r="B14" s="169">
        <v>2752858</v>
      </c>
      <c r="C14" s="160">
        <v>790173</v>
      </c>
      <c r="D14" s="160">
        <v>581540</v>
      </c>
      <c r="E14" s="160">
        <v>516968</v>
      </c>
      <c r="F14" s="160">
        <v>864177</v>
      </c>
      <c r="G14" s="75">
        <v>0.28999999999999998</v>
      </c>
      <c r="H14" s="75">
        <v>0.21</v>
      </c>
      <c r="I14" s="75">
        <v>0.19</v>
      </c>
      <c r="J14" s="75">
        <v>0.31</v>
      </c>
      <c r="K14" s="27"/>
      <c r="L14" s="190"/>
      <c r="M14" s="190"/>
      <c r="N14" s="190"/>
      <c r="O14" s="190"/>
      <c r="P14" s="190"/>
      <c r="Q14" s="191"/>
      <c r="R14" s="191"/>
      <c r="S14" s="191"/>
      <c r="T14" s="191"/>
      <c r="U14" s="27"/>
      <c r="V14" s="37"/>
      <c r="W14" s="37"/>
      <c r="X14" s="37"/>
      <c r="Y14" s="37"/>
      <c r="Z14" s="37"/>
      <c r="AA14" s="37"/>
      <c r="AB14" s="37"/>
      <c r="AC14" s="37"/>
      <c r="AD14" s="37"/>
      <c r="AE14" s="27"/>
      <c r="AF14" s="27"/>
      <c r="AG14" s="27"/>
      <c r="AH14" s="27"/>
      <c r="AI14" s="27"/>
      <c r="AJ14" s="27"/>
      <c r="AK14" s="27"/>
      <c r="AL14" s="27"/>
      <c r="AM14" s="27"/>
      <c r="AN14" s="27"/>
      <c r="AO14" s="27"/>
      <c r="AP14" s="27"/>
      <c r="AQ14" s="27"/>
      <c r="AR14" s="27"/>
    </row>
    <row r="15" spans="1:44" ht="15.75" x14ac:dyDescent="0.25">
      <c r="A15" s="61" t="s">
        <v>514</v>
      </c>
      <c r="B15" s="169">
        <v>2350562</v>
      </c>
      <c r="C15" s="160">
        <v>691095</v>
      </c>
      <c r="D15" s="160">
        <v>493393</v>
      </c>
      <c r="E15" s="160">
        <v>417933</v>
      </c>
      <c r="F15" s="160">
        <v>748142</v>
      </c>
      <c r="G15" s="75">
        <v>0.28999999999999998</v>
      </c>
      <c r="H15" s="75">
        <v>0.21</v>
      </c>
      <c r="I15" s="75">
        <v>0.18</v>
      </c>
      <c r="J15" s="75">
        <v>0.32</v>
      </c>
      <c r="K15" s="27"/>
      <c r="L15" s="190"/>
      <c r="M15" s="190"/>
      <c r="N15" s="190"/>
      <c r="O15" s="190"/>
      <c r="P15" s="190"/>
      <c r="Q15" s="191"/>
      <c r="R15" s="191"/>
      <c r="S15" s="191"/>
      <c r="T15" s="191"/>
      <c r="U15" s="27"/>
      <c r="V15" s="37"/>
      <c r="W15" s="37"/>
      <c r="X15" s="37"/>
      <c r="Y15" s="37"/>
      <c r="Z15" s="37"/>
      <c r="AA15" s="37"/>
      <c r="AB15" s="37"/>
      <c r="AC15" s="37"/>
      <c r="AD15" s="37"/>
      <c r="AE15" s="27"/>
      <c r="AF15" s="27"/>
      <c r="AG15" s="27"/>
      <c r="AH15" s="27"/>
      <c r="AI15" s="27"/>
      <c r="AJ15" s="27"/>
      <c r="AK15" s="27"/>
      <c r="AL15" s="27"/>
      <c r="AM15" s="27"/>
      <c r="AN15" s="27"/>
      <c r="AO15" s="27"/>
      <c r="AP15" s="27"/>
      <c r="AQ15" s="27"/>
      <c r="AR15" s="27"/>
    </row>
    <row r="16" spans="1:44" ht="15.75" x14ac:dyDescent="0.25">
      <c r="A16" s="61" t="s">
        <v>515</v>
      </c>
      <c r="B16" s="169">
        <v>772132</v>
      </c>
      <c r="C16" s="160">
        <v>223599</v>
      </c>
      <c r="D16" s="160">
        <v>167223</v>
      </c>
      <c r="E16" s="160">
        <v>167435</v>
      </c>
      <c r="F16" s="160">
        <v>213875</v>
      </c>
      <c r="G16" s="75">
        <v>0.28999999999999998</v>
      </c>
      <c r="H16" s="75">
        <v>0.22</v>
      </c>
      <c r="I16" s="75">
        <v>0.22</v>
      </c>
      <c r="J16" s="75">
        <v>0.28000000000000003</v>
      </c>
      <c r="K16" s="27"/>
      <c r="L16" s="190"/>
      <c r="M16" s="190"/>
      <c r="N16" s="190"/>
      <c r="O16" s="190"/>
      <c r="P16" s="190"/>
      <c r="Q16" s="191"/>
      <c r="R16" s="191"/>
      <c r="S16" s="191"/>
      <c r="T16" s="191"/>
      <c r="U16" s="27"/>
      <c r="V16" s="37"/>
      <c r="W16" s="37"/>
      <c r="X16" s="37"/>
      <c r="Y16" s="37"/>
      <c r="Z16" s="37"/>
      <c r="AA16" s="37"/>
      <c r="AB16" s="37"/>
      <c r="AC16" s="37"/>
      <c r="AD16" s="37"/>
      <c r="AE16" s="27"/>
      <c r="AF16" s="27"/>
      <c r="AG16" s="27"/>
      <c r="AH16" s="27"/>
      <c r="AI16" s="27"/>
      <c r="AJ16" s="27"/>
      <c r="AK16" s="27"/>
      <c r="AL16" s="27"/>
      <c r="AM16" s="27"/>
      <c r="AN16" s="27"/>
      <c r="AO16" s="27"/>
      <c r="AP16" s="27"/>
      <c r="AQ16" s="27"/>
      <c r="AR16" s="27"/>
    </row>
    <row r="17" spans="1:44" ht="15.75" x14ac:dyDescent="0.25">
      <c r="A17" s="61" t="s">
        <v>516</v>
      </c>
      <c r="B17" s="169">
        <v>1272994</v>
      </c>
      <c r="C17" s="160">
        <v>365427</v>
      </c>
      <c r="D17" s="160">
        <v>273630</v>
      </c>
      <c r="E17" s="160">
        <v>262203</v>
      </c>
      <c r="F17" s="160">
        <v>371734</v>
      </c>
      <c r="G17" s="75">
        <v>0.28999999999999998</v>
      </c>
      <c r="H17" s="75">
        <v>0.21</v>
      </c>
      <c r="I17" s="75">
        <v>0.21</v>
      </c>
      <c r="J17" s="75">
        <v>0.28999999999999998</v>
      </c>
      <c r="K17" s="27"/>
      <c r="L17" s="190"/>
      <c r="M17" s="190"/>
      <c r="N17" s="190"/>
      <c r="O17" s="190"/>
      <c r="P17" s="190"/>
      <c r="Q17" s="191"/>
      <c r="R17" s="191"/>
      <c r="S17" s="191"/>
      <c r="T17" s="191"/>
      <c r="U17" s="27"/>
      <c r="V17" s="37"/>
      <c r="W17" s="37"/>
      <c r="X17" s="37"/>
      <c r="Y17" s="37"/>
      <c r="Z17" s="37"/>
      <c r="AA17" s="37"/>
      <c r="AB17" s="37"/>
      <c r="AC17" s="37"/>
      <c r="AD17" s="37"/>
      <c r="AE17" s="27"/>
      <c r="AF17" s="27"/>
      <c r="AG17" s="27"/>
      <c r="AH17" s="27"/>
      <c r="AI17" s="27"/>
      <c r="AJ17" s="27"/>
      <c r="AK17" s="27"/>
      <c r="AL17" s="27"/>
      <c r="AM17" s="27"/>
      <c r="AN17" s="27"/>
      <c r="AO17" s="27"/>
      <c r="AP17" s="27"/>
      <c r="AQ17" s="27"/>
      <c r="AR17" s="27"/>
    </row>
    <row r="18" spans="1:44" ht="15.75" x14ac:dyDescent="0.25">
      <c r="A18" s="61" t="s">
        <v>517</v>
      </c>
      <c r="B18" s="169">
        <v>688045</v>
      </c>
      <c r="C18" s="160">
        <v>205197</v>
      </c>
      <c r="D18" s="160">
        <v>159960</v>
      </c>
      <c r="E18" s="160">
        <v>147413</v>
      </c>
      <c r="F18" s="160">
        <v>175475</v>
      </c>
      <c r="G18" s="75">
        <v>0.3</v>
      </c>
      <c r="H18" s="75">
        <v>0.23</v>
      </c>
      <c r="I18" s="75">
        <v>0.21</v>
      </c>
      <c r="J18" s="75">
        <v>0.26</v>
      </c>
      <c r="K18" s="27"/>
      <c r="L18" s="190"/>
      <c r="M18" s="190"/>
      <c r="N18" s="190"/>
      <c r="O18" s="190"/>
      <c r="P18" s="190"/>
      <c r="Q18" s="191"/>
      <c r="R18" s="191"/>
      <c r="S18" s="191"/>
      <c r="T18" s="191"/>
      <c r="U18" s="27"/>
      <c r="V18" s="37"/>
      <c r="W18" s="37"/>
      <c r="X18" s="37"/>
      <c r="Y18" s="37"/>
      <c r="Z18" s="37"/>
      <c r="AA18" s="37"/>
      <c r="AB18" s="37"/>
      <c r="AC18" s="37"/>
      <c r="AD18" s="37"/>
      <c r="AE18" s="27"/>
      <c r="AF18" s="27"/>
      <c r="AG18" s="27"/>
      <c r="AH18" s="27"/>
      <c r="AI18" s="27"/>
      <c r="AJ18" s="27"/>
      <c r="AK18" s="27"/>
      <c r="AL18" s="27"/>
      <c r="AM18" s="27"/>
      <c r="AN18" s="27"/>
      <c r="AO18" s="27"/>
      <c r="AP18" s="27"/>
      <c r="AQ18" s="27"/>
      <c r="AR18" s="27"/>
    </row>
    <row r="19" spans="1:44" ht="15.75" x14ac:dyDescent="0.25">
      <c r="A19" s="61" t="s">
        <v>518</v>
      </c>
      <c r="B19" s="169">
        <v>4749446</v>
      </c>
      <c r="C19" s="160">
        <v>1404606</v>
      </c>
      <c r="D19" s="160">
        <v>1049623</v>
      </c>
      <c r="E19" s="160">
        <v>910888</v>
      </c>
      <c r="F19" s="160">
        <v>1384330</v>
      </c>
      <c r="G19" s="75">
        <v>0.3</v>
      </c>
      <c r="H19" s="75">
        <v>0.22</v>
      </c>
      <c r="I19" s="75">
        <v>0.19</v>
      </c>
      <c r="J19" s="75">
        <v>0.28999999999999998</v>
      </c>
      <c r="K19" s="27"/>
      <c r="L19" s="190"/>
      <c r="M19" s="190"/>
      <c r="N19" s="190"/>
      <c r="O19" s="190"/>
      <c r="P19" s="190"/>
      <c r="Q19" s="191"/>
      <c r="R19" s="191"/>
      <c r="S19" s="191"/>
      <c r="T19" s="191"/>
      <c r="U19" s="27"/>
      <c r="V19" s="37"/>
      <c r="W19" s="37"/>
      <c r="X19" s="37"/>
      <c r="Y19" s="37"/>
      <c r="Z19" s="37"/>
      <c r="AA19" s="37"/>
      <c r="AB19" s="37"/>
      <c r="AC19" s="37"/>
      <c r="AD19" s="37"/>
      <c r="AE19" s="27"/>
      <c r="AF19" s="27"/>
      <c r="AG19" s="27"/>
      <c r="AH19" s="27"/>
      <c r="AI19" s="27"/>
      <c r="AJ19" s="27"/>
      <c r="AK19" s="27"/>
      <c r="AL19" s="27"/>
      <c r="AM19" s="27"/>
      <c r="AN19" s="27"/>
      <c r="AO19" s="27"/>
      <c r="AP19" s="27"/>
      <c r="AQ19" s="27"/>
      <c r="AR19" s="27"/>
    </row>
    <row r="20" spans="1:44" ht="15.75" x14ac:dyDescent="0.25">
      <c r="A20" s="61" t="s">
        <v>519</v>
      </c>
      <c r="B20" s="169">
        <v>2296136</v>
      </c>
      <c r="C20" s="160">
        <v>663921</v>
      </c>
      <c r="D20" s="160">
        <v>490163</v>
      </c>
      <c r="E20" s="160">
        <v>424948</v>
      </c>
      <c r="F20" s="160">
        <v>717105</v>
      </c>
      <c r="G20" s="75">
        <v>0.28999999999999998</v>
      </c>
      <c r="H20" s="75">
        <v>0.21</v>
      </c>
      <c r="I20" s="75">
        <v>0.19</v>
      </c>
      <c r="J20" s="75">
        <v>0.31</v>
      </c>
      <c r="K20" s="27"/>
      <c r="L20" s="190"/>
      <c r="M20" s="190"/>
      <c r="N20" s="190"/>
      <c r="O20" s="190"/>
      <c r="P20" s="190"/>
      <c r="Q20" s="191"/>
      <c r="R20" s="191"/>
      <c r="S20" s="191"/>
      <c r="T20" s="191"/>
      <c r="U20" s="27"/>
      <c r="V20" s="37"/>
      <c r="W20" s="37"/>
      <c r="X20" s="37"/>
      <c r="Y20" s="37"/>
      <c r="Z20" s="37"/>
      <c r="AA20" s="37"/>
      <c r="AB20" s="37"/>
      <c r="AC20" s="37"/>
      <c r="AD20" s="37"/>
      <c r="AE20" s="27"/>
      <c r="AF20" s="27"/>
      <c r="AG20" s="27"/>
      <c r="AH20" s="27"/>
      <c r="AI20" s="27"/>
      <c r="AJ20" s="27"/>
      <c r="AK20" s="27"/>
      <c r="AL20" s="27"/>
      <c r="AM20" s="27"/>
      <c r="AN20" s="27"/>
      <c r="AO20" s="27"/>
      <c r="AP20" s="27"/>
      <c r="AQ20" s="27"/>
      <c r="AR20" s="27"/>
    </row>
    <row r="21" spans="1:44" ht="15.75" x14ac:dyDescent="0.25">
      <c r="A21" s="61" t="s">
        <v>520</v>
      </c>
      <c r="B21" s="169">
        <v>5972664</v>
      </c>
      <c r="C21" s="160">
        <v>1730640</v>
      </c>
      <c r="D21" s="160">
        <v>1271928</v>
      </c>
      <c r="E21" s="160">
        <v>1113258</v>
      </c>
      <c r="F21" s="160">
        <v>1856839</v>
      </c>
      <c r="G21" s="75">
        <v>0.28999999999999998</v>
      </c>
      <c r="H21" s="75">
        <v>0.21</v>
      </c>
      <c r="I21" s="75">
        <v>0.19</v>
      </c>
      <c r="J21" s="75">
        <v>0.31</v>
      </c>
      <c r="K21" s="27"/>
      <c r="L21" s="190"/>
      <c r="M21" s="190"/>
      <c r="N21" s="190"/>
      <c r="O21" s="190"/>
      <c r="P21" s="190"/>
      <c r="Q21" s="191"/>
      <c r="R21" s="191"/>
      <c r="S21" s="191"/>
      <c r="T21" s="191"/>
      <c r="U21" s="27"/>
      <c r="V21" s="37"/>
      <c r="W21" s="37"/>
      <c r="X21" s="37"/>
      <c r="Y21" s="37"/>
      <c r="Z21" s="37"/>
      <c r="AA21" s="37"/>
      <c r="AB21" s="37"/>
      <c r="AC21" s="37"/>
      <c r="AD21" s="37"/>
      <c r="AE21" s="27"/>
      <c r="AF21" s="27"/>
      <c r="AG21" s="27"/>
      <c r="AH21" s="27"/>
      <c r="AI21" s="27"/>
      <c r="AJ21" s="27"/>
      <c r="AK21" s="27"/>
      <c r="AL21" s="27"/>
      <c r="AM21" s="27"/>
      <c r="AN21" s="27"/>
      <c r="AO21" s="27"/>
      <c r="AP21" s="27"/>
      <c r="AQ21" s="27"/>
      <c r="AR21" s="27"/>
    </row>
    <row r="22" spans="1:44" ht="15.75" x14ac:dyDescent="0.25">
      <c r="A22" s="61" t="s">
        <v>521</v>
      </c>
      <c r="B22" s="169">
        <v>12740418</v>
      </c>
      <c r="C22" s="160">
        <v>3775809</v>
      </c>
      <c r="D22" s="160">
        <v>2702983</v>
      </c>
      <c r="E22" s="160">
        <v>2390398</v>
      </c>
      <c r="F22" s="160">
        <v>3871229</v>
      </c>
      <c r="G22" s="75">
        <v>0.3</v>
      </c>
      <c r="H22" s="75">
        <v>0.21</v>
      </c>
      <c r="I22" s="75">
        <v>0.19</v>
      </c>
      <c r="J22" s="75">
        <v>0.3</v>
      </c>
      <c r="K22" s="27"/>
      <c r="L22" s="190"/>
      <c r="M22" s="190"/>
      <c r="N22" s="190"/>
      <c r="O22" s="190"/>
      <c r="P22" s="190"/>
      <c r="Q22" s="191"/>
      <c r="R22" s="191"/>
      <c r="S22" s="191"/>
      <c r="T22" s="191"/>
      <c r="U22" s="27"/>
      <c r="V22" s="37"/>
      <c r="W22" s="37"/>
      <c r="X22" s="37"/>
      <c r="Y22" s="37"/>
      <c r="Z22" s="37"/>
      <c r="AA22" s="37"/>
      <c r="AB22" s="37"/>
      <c r="AC22" s="37"/>
      <c r="AD22" s="37"/>
      <c r="AE22" s="27"/>
      <c r="AF22" s="27"/>
      <c r="AG22" s="27"/>
      <c r="AH22" s="27"/>
      <c r="AI22" s="27"/>
      <c r="AJ22" s="27"/>
      <c r="AK22" s="27"/>
      <c r="AL22" s="27"/>
      <c r="AM22" s="27"/>
      <c r="AN22" s="27"/>
      <c r="AO22" s="27"/>
      <c r="AP22" s="27"/>
      <c r="AQ22" s="27"/>
      <c r="AR22" s="27"/>
    </row>
    <row r="23" spans="1:44" ht="15.75" x14ac:dyDescent="0.25">
      <c r="A23" s="61" t="s">
        <v>522</v>
      </c>
      <c r="B23" s="169">
        <v>2599568</v>
      </c>
      <c r="C23" s="160">
        <v>756765</v>
      </c>
      <c r="D23" s="160">
        <v>570748</v>
      </c>
      <c r="E23" s="160">
        <v>493605</v>
      </c>
      <c r="F23" s="160">
        <v>778451</v>
      </c>
      <c r="G23" s="75">
        <v>0.28999999999999998</v>
      </c>
      <c r="H23" s="75">
        <v>0.22</v>
      </c>
      <c r="I23" s="75">
        <v>0.19</v>
      </c>
      <c r="J23" s="75">
        <v>0.3</v>
      </c>
      <c r="K23" s="27"/>
      <c r="L23" s="190"/>
      <c r="M23" s="190"/>
      <c r="N23" s="190"/>
      <c r="O23" s="190"/>
      <c r="P23" s="190"/>
      <c r="Q23" s="191"/>
      <c r="R23" s="191"/>
      <c r="S23" s="191"/>
      <c r="T23" s="191"/>
      <c r="U23" s="27"/>
      <c r="V23" s="37"/>
      <c r="W23" s="37"/>
      <c r="X23" s="37"/>
      <c r="Y23" s="37"/>
      <c r="Z23" s="37"/>
      <c r="AA23" s="37"/>
      <c r="AB23" s="37"/>
      <c r="AC23" s="37"/>
      <c r="AD23" s="37"/>
      <c r="AE23" s="27"/>
      <c r="AF23" s="27"/>
      <c r="AG23" s="27"/>
      <c r="AH23" s="27"/>
      <c r="AI23" s="27"/>
      <c r="AJ23" s="27"/>
      <c r="AK23" s="27"/>
      <c r="AL23" s="27"/>
      <c r="AM23" s="27"/>
      <c r="AN23" s="27"/>
      <c r="AO23" s="27"/>
      <c r="AP23" s="27"/>
      <c r="AQ23" s="27"/>
      <c r="AR23" s="27"/>
    </row>
    <row r="24" spans="1:44" ht="15.75" x14ac:dyDescent="0.25">
      <c r="A24" s="61" t="s">
        <v>523</v>
      </c>
      <c r="B24" s="169">
        <v>1295969</v>
      </c>
      <c r="C24" s="160">
        <v>374052</v>
      </c>
      <c r="D24" s="160">
        <v>266795</v>
      </c>
      <c r="E24" s="160">
        <v>233373</v>
      </c>
      <c r="F24" s="160">
        <v>421749</v>
      </c>
      <c r="G24" s="75">
        <v>0.28999999999999998</v>
      </c>
      <c r="H24" s="75">
        <v>0.21</v>
      </c>
      <c r="I24" s="75">
        <v>0.18</v>
      </c>
      <c r="J24" s="75">
        <v>0.33</v>
      </c>
      <c r="K24" s="27"/>
      <c r="L24" s="190"/>
      <c r="M24" s="190"/>
      <c r="N24" s="190"/>
      <c r="O24" s="190"/>
      <c r="P24" s="190"/>
      <c r="Q24" s="191"/>
      <c r="R24" s="191"/>
      <c r="S24" s="191"/>
      <c r="T24" s="191"/>
      <c r="U24" s="27"/>
      <c r="V24" s="37"/>
      <c r="W24" s="37"/>
      <c r="X24" s="37"/>
      <c r="Y24" s="37"/>
      <c r="Z24" s="37"/>
      <c r="AA24" s="37"/>
      <c r="AB24" s="37"/>
      <c r="AC24" s="37"/>
      <c r="AD24" s="37"/>
      <c r="AE24" s="27"/>
      <c r="AF24" s="27"/>
      <c r="AG24" s="27"/>
      <c r="AH24" s="27"/>
      <c r="AI24" s="27"/>
      <c r="AJ24" s="27"/>
      <c r="AK24" s="27"/>
      <c r="AL24" s="27"/>
      <c r="AM24" s="27"/>
      <c r="AN24" s="27"/>
      <c r="AO24" s="27"/>
      <c r="AP24" s="27"/>
      <c r="AQ24" s="27"/>
      <c r="AR24" s="27"/>
    </row>
    <row r="25" spans="1:44" ht="15.75" x14ac:dyDescent="0.25">
      <c r="A25" s="61" t="s">
        <v>524</v>
      </c>
      <c r="B25" s="169">
        <v>1431352</v>
      </c>
      <c r="C25" s="160">
        <v>400590</v>
      </c>
      <c r="D25" s="160">
        <v>314903</v>
      </c>
      <c r="E25" s="160">
        <v>281345</v>
      </c>
      <c r="F25" s="160">
        <v>434515</v>
      </c>
      <c r="G25" s="75">
        <v>0.28000000000000003</v>
      </c>
      <c r="H25" s="75">
        <v>0.22</v>
      </c>
      <c r="I25" s="75">
        <v>0.2</v>
      </c>
      <c r="J25" s="75">
        <v>0.3</v>
      </c>
      <c r="K25" s="27"/>
      <c r="L25" s="190"/>
      <c r="M25" s="190"/>
      <c r="N25" s="190"/>
      <c r="O25" s="190"/>
      <c r="P25" s="190"/>
      <c r="Q25" s="191"/>
      <c r="R25" s="191"/>
      <c r="S25" s="191"/>
      <c r="T25" s="191"/>
      <c r="U25" s="27"/>
      <c r="V25" s="37"/>
      <c r="W25" s="37"/>
      <c r="X25" s="37"/>
      <c r="Y25" s="37"/>
      <c r="Z25" s="37"/>
      <c r="AA25" s="37"/>
      <c r="AB25" s="37"/>
      <c r="AC25" s="37"/>
      <c r="AD25" s="37"/>
      <c r="AE25" s="27"/>
      <c r="AF25" s="27"/>
      <c r="AG25" s="27"/>
      <c r="AH25" s="27"/>
      <c r="AI25" s="27"/>
      <c r="AJ25" s="27"/>
      <c r="AK25" s="27"/>
      <c r="AL25" s="27"/>
      <c r="AM25" s="27"/>
      <c r="AN25" s="27"/>
      <c r="AO25" s="27"/>
      <c r="AP25" s="27"/>
      <c r="AQ25" s="27"/>
      <c r="AR25" s="27"/>
    </row>
    <row r="26" spans="1:44" ht="15.75" x14ac:dyDescent="0.25">
      <c r="A26" s="61" t="s">
        <v>525</v>
      </c>
      <c r="B26" s="169">
        <v>1055605</v>
      </c>
      <c r="C26" s="160">
        <v>305550</v>
      </c>
      <c r="D26" s="160">
        <v>228055</v>
      </c>
      <c r="E26" s="160">
        <v>214070</v>
      </c>
      <c r="F26" s="160">
        <v>307930</v>
      </c>
      <c r="G26" s="75">
        <v>0.28999999999999998</v>
      </c>
      <c r="H26" s="75">
        <v>0.22</v>
      </c>
      <c r="I26" s="75">
        <v>0.2</v>
      </c>
      <c r="J26" s="75">
        <v>0.28999999999999998</v>
      </c>
      <c r="K26" s="27"/>
      <c r="L26" s="190"/>
      <c r="M26" s="190"/>
      <c r="N26" s="190"/>
      <c r="O26" s="190"/>
      <c r="P26" s="190"/>
      <c r="Q26" s="191"/>
      <c r="R26" s="191"/>
      <c r="S26" s="191"/>
      <c r="T26" s="191"/>
      <c r="U26" s="27"/>
      <c r="V26" s="37"/>
      <c r="W26" s="37"/>
      <c r="X26" s="37"/>
      <c r="Y26" s="37"/>
      <c r="Z26" s="37"/>
      <c r="AA26" s="37"/>
      <c r="AB26" s="37"/>
      <c r="AC26" s="37"/>
      <c r="AD26" s="37"/>
      <c r="AE26" s="27"/>
      <c r="AF26" s="27"/>
      <c r="AG26" s="27"/>
      <c r="AH26" s="27"/>
      <c r="AI26" s="27"/>
      <c r="AJ26" s="27"/>
      <c r="AK26" s="27"/>
      <c r="AL26" s="27"/>
      <c r="AM26" s="27"/>
      <c r="AN26" s="27"/>
      <c r="AO26" s="27"/>
      <c r="AP26" s="27"/>
      <c r="AQ26" s="27"/>
      <c r="AR26" s="27"/>
    </row>
    <row r="27" spans="1:44" ht="15.75" x14ac:dyDescent="0.25">
      <c r="A27" s="61" t="s">
        <v>526</v>
      </c>
      <c r="B27" s="169">
        <v>216739</v>
      </c>
      <c r="C27" s="160">
        <v>63954</v>
      </c>
      <c r="D27" s="160">
        <v>50560</v>
      </c>
      <c r="E27" s="160">
        <v>44618</v>
      </c>
      <c r="F27" s="160">
        <v>57607</v>
      </c>
      <c r="G27" s="75">
        <v>0.3</v>
      </c>
      <c r="H27" s="75">
        <v>0.23</v>
      </c>
      <c r="I27" s="75">
        <v>0.21</v>
      </c>
      <c r="J27" s="75">
        <v>0.27</v>
      </c>
      <c r="K27" s="27"/>
      <c r="L27" s="190"/>
      <c r="M27" s="190"/>
      <c r="N27" s="190"/>
      <c r="O27" s="190"/>
      <c r="P27" s="190"/>
      <c r="Q27" s="191"/>
      <c r="R27" s="191"/>
      <c r="S27" s="191"/>
      <c r="T27" s="191"/>
      <c r="U27" s="27"/>
      <c r="V27" s="37"/>
      <c r="W27" s="37"/>
      <c r="X27" s="37"/>
      <c r="Y27" s="37"/>
      <c r="Z27" s="37"/>
      <c r="AA27" s="37"/>
      <c r="AB27" s="37"/>
      <c r="AC27" s="37"/>
      <c r="AD27" s="37"/>
      <c r="AE27" s="27"/>
      <c r="AF27" s="27"/>
      <c r="AG27" s="27"/>
      <c r="AH27" s="27"/>
      <c r="AI27" s="27"/>
      <c r="AJ27" s="27"/>
      <c r="AK27" s="27"/>
      <c r="AL27" s="27"/>
      <c r="AM27" s="27"/>
      <c r="AN27" s="27"/>
      <c r="AO27" s="27"/>
      <c r="AP27" s="27"/>
      <c r="AQ27" s="27"/>
      <c r="AR27" s="27"/>
    </row>
    <row r="28" spans="1:44" ht="15.75" x14ac:dyDescent="0.25">
      <c r="A28" s="61" t="s">
        <v>527</v>
      </c>
      <c r="B28" s="169">
        <v>2616148</v>
      </c>
      <c r="C28" s="160">
        <v>742152</v>
      </c>
      <c r="D28" s="160">
        <v>554933</v>
      </c>
      <c r="E28" s="160">
        <v>482668</v>
      </c>
      <c r="F28" s="160">
        <v>836396</v>
      </c>
      <c r="G28" s="75">
        <v>0.28000000000000003</v>
      </c>
      <c r="H28" s="75">
        <v>0.21</v>
      </c>
      <c r="I28" s="75">
        <v>0.18</v>
      </c>
      <c r="J28" s="75">
        <v>0.32</v>
      </c>
      <c r="K28" s="27"/>
      <c r="L28" s="190"/>
      <c r="M28" s="190"/>
      <c r="N28" s="190"/>
      <c r="O28" s="190"/>
      <c r="P28" s="190"/>
      <c r="Q28" s="191"/>
      <c r="R28" s="191"/>
      <c r="S28" s="191"/>
      <c r="T28" s="191"/>
      <c r="U28" s="27"/>
      <c r="V28" s="37"/>
      <c r="W28" s="37"/>
      <c r="X28" s="37"/>
      <c r="Y28" s="37"/>
      <c r="Z28" s="37"/>
      <c r="AA28" s="37"/>
      <c r="AB28" s="37"/>
      <c r="AC28" s="37"/>
      <c r="AD28" s="37"/>
      <c r="AE28" s="27"/>
      <c r="AF28" s="27"/>
      <c r="AG28" s="27"/>
      <c r="AH28" s="27"/>
      <c r="AI28" s="27"/>
      <c r="AJ28" s="27"/>
      <c r="AK28" s="27"/>
      <c r="AL28" s="27"/>
      <c r="AM28" s="27"/>
      <c r="AN28" s="27"/>
      <c r="AO28" s="27"/>
      <c r="AP28" s="27"/>
      <c r="AQ28" s="27"/>
      <c r="AR28" s="27"/>
    </row>
    <row r="29" spans="1:44" ht="15.75" x14ac:dyDescent="0.25">
      <c r="A29" s="61" t="s">
        <v>528</v>
      </c>
      <c r="B29" s="169">
        <v>6170995</v>
      </c>
      <c r="C29" s="160">
        <v>1797543</v>
      </c>
      <c r="D29" s="160">
        <v>1291665</v>
      </c>
      <c r="E29" s="160">
        <v>1154423</v>
      </c>
      <c r="F29" s="160">
        <v>1927365</v>
      </c>
      <c r="G29" s="75">
        <v>0.28999999999999998</v>
      </c>
      <c r="H29" s="75">
        <v>0.21</v>
      </c>
      <c r="I29" s="75">
        <v>0.19</v>
      </c>
      <c r="J29" s="75">
        <v>0.31</v>
      </c>
      <c r="K29" s="27"/>
      <c r="L29" s="190"/>
      <c r="M29" s="190"/>
      <c r="N29" s="190"/>
      <c r="O29" s="190"/>
      <c r="P29" s="190"/>
      <c r="Q29" s="191"/>
      <c r="R29" s="191"/>
      <c r="S29" s="191"/>
      <c r="T29" s="191"/>
      <c r="U29" s="27"/>
      <c r="V29" s="37"/>
      <c r="W29" s="37"/>
      <c r="X29" s="37"/>
      <c r="Y29" s="37"/>
      <c r="Z29" s="37"/>
      <c r="AA29" s="37"/>
      <c r="AB29" s="37"/>
      <c r="AC29" s="37"/>
      <c r="AD29" s="37"/>
      <c r="AE29" s="27"/>
      <c r="AF29" s="27"/>
      <c r="AG29" s="27"/>
      <c r="AH29" s="27"/>
      <c r="AI29" s="27"/>
      <c r="AJ29" s="27"/>
      <c r="AK29" s="27"/>
      <c r="AL29" s="27"/>
      <c r="AM29" s="27"/>
      <c r="AN29" s="27"/>
      <c r="AO29" s="27"/>
      <c r="AP29" s="27"/>
      <c r="AQ29" s="27"/>
      <c r="AR29" s="27"/>
    </row>
    <row r="30" spans="1:44" ht="15.75" x14ac:dyDescent="0.25">
      <c r="A30" s="61" t="s">
        <v>529</v>
      </c>
      <c r="B30" s="169">
        <v>144087</v>
      </c>
      <c r="C30" s="160">
        <v>43224</v>
      </c>
      <c r="D30" s="160">
        <v>35795</v>
      </c>
      <c r="E30" s="160">
        <v>34318</v>
      </c>
      <c r="F30" s="160">
        <v>30751</v>
      </c>
      <c r="G30" s="75">
        <v>0.3</v>
      </c>
      <c r="H30" s="75">
        <v>0.25</v>
      </c>
      <c r="I30" s="75">
        <v>0.24</v>
      </c>
      <c r="J30" s="75">
        <v>0.21</v>
      </c>
      <c r="K30" s="27"/>
      <c r="L30" s="190"/>
      <c r="M30" s="190"/>
      <c r="N30" s="190"/>
      <c r="O30" s="190"/>
      <c r="P30" s="190"/>
      <c r="Q30" s="191"/>
      <c r="R30" s="191"/>
      <c r="S30" s="191"/>
      <c r="T30" s="191"/>
      <c r="U30" s="27"/>
      <c r="V30" s="37"/>
      <c r="W30" s="37"/>
      <c r="X30" s="37"/>
      <c r="Y30" s="37"/>
      <c r="Z30" s="37"/>
      <c r="AA30" s="37"/>
      <c r="AB30" s="37"/>
      <c r="AC30" s="37"/>
      <c r="AD30" s="37"/>
      <c r="AE30" s="27"/>
      <c r="AF30" s="27"/>
      <c r="AG30" s="27"/>
      <c r="AH30" s="27"/>
      <c r="AI30" s="27"/>
      <c r="AJ30" s="27"/>
      <c r="AK30" s="27"/>
      <c r="AL30" s="27"/>
      <c r="AM30" s="27"/>
      <c r="AN30" s="27"/>
      <c r="AO30" s="27"/>
      <c r="AP30" s="27"/>
      <c r="AQ30" s="27"/>
      <c r="AR30" s="27"/>
    </row>
    <row r="31" spans="1:44" ht="15.75" x14ac:dyDescent="0.25">
      <c r="A31" s="61" t="s">
        <v>530</v>
      </c>
      <c r="B31" s="169">
        <v>1569970</v>
      </c>
      <c r="C31" s="160">
        <v>468993</v>
      </c>
      <c r="D31" s="160">
        <v>351713</v>
      </c>
      <c r="E31" s="160">
        <v>307090</v>
      </c>
      <c r="F31" s="160">
        <v>442175</v>
      </c>
      <c r="G31" s="75">
        <v>0.3</v>
      </c>
      <c r="H31" s="75">
        <v>0.22</v>
      </c>
      <c r="I31" s="75">
        <v>0.2</v>
      </c>
      <c r="J31" s="75">
        <v>0.28000000000000003</v>
      </c>
      <c r="K31" s="27"/>
      <c r="L31" s="190"/>
      <c r="M31" s="190"/>
      <c r="N31" s="190"/>
      <c r="O31" s="190"/>
      <c r="P31" s="190"/>
      <c r="Q31" s="191"/>
      <c r="R31" s="191"/>
      <c r="S31" s="191"/>
      <c r="T31" s="191"/>
      <c r="U31" s="27"/>
      <c r="V31" s="37"/>
      <c r="W31" s="37"/>
      <c r="X31" s="37"/>
      <c r="Y31" s="37"/>
      <c r="Z31" s="37"/>
      <c r="AA31" s="37"/>
      <c r="AB31" s="37"/>
      <c r="AC31" s="37"/>
      <c r="AD31" s="37"/>
      <c r="AE31" s="27"/>
      <c r="AF31" s="27"/>
      <c r="AG31" s="27"/>
      <c r="AH31" s="27"/>
      <c r="AI31" s="27"/>
      <c r="AJ31" s="27"/>
      <c r="AK31" s="27"/>
      <c r="AL31" s="27"/>
      <c r="AM31" s="27"/>
      <c r="AN31" s="27"/>
      <c r="AO31" s="27"/>
      <c r="AP31" s="27"/>
      <c r="AQ31" s="27"/>
      <c r="AR31" s="27"/>
    </row>
    <row r="32" spans="1:44" ht="15.75" x14ac:dyDescent="0.25">
      <c r="A32" s="61" t="s">
        <v>531</v>
      </c>
      <c r="B32" s="169">
        <v>2501691</v>
      </c>
      <c r="C32" s="160">
        <v>743604</v>
      </c>
      <c r="D32" s="160">
        <v>567908</v>
      </c>
      <c r="E32" s="160">
        <v>472480</v>
      </c>
      <c r="F32" s="160">
        <v>717700</v>
      </c>
      <c r="G32" s="75">
        <v>0.3</v>
      </c>
      <c r="H32" s="75">
        <v>0.23</v>
      </c>
      <c r="I32" s="75">
        <v>0.19</v>
      </c>
      <c r="J32" s="75">
        <v>0.28999999999999998</v>
      </c>
      <c r="K32" s="27"/>
      <c r="L32" s="190"/>
      <c r="M32" s="190"/>
      <c r="N32" s="190"/>
      <c r="O32" s="190"/>
      <c r="P32" s="190"/>
      <c r="Q32" s="191"/>
      <c r="R32" s="191"/>
      <c r="S32" s="191"/>
      <c r="T32" s="191"/>
      <c r="U32" s="27"/>
      <c r="V32" s="37"/>
      <c r="W32" s="37"/>
      <c r="X32" s="37"/>
      <c r="Y32" s="37"/>
      <c r="Z32" s="37"/>
      <c r="AA32" s="37"/>
      <c r="AB32" s="37"/>
      <c r="AC32" s="37"/>
      <c r="AD32" s="37"/>
      <c r="AE32" s="27"/>
      <c r="AF32" s="27"/>
      <c r="AG32" s="27"/>
      <c r="AH32" s="27"/>
      <c r="AI32" s="27"/>
      <c r="AJ32" s="27"/>
      <c r="AK32" s="27"/>
      <c r="AL32" s="27"/>
      <c r="AM32" s="27"/>
      <c r="AN32" s="27"/>
      <c r="AO32" s="27"/>
      <c r="AP32" s="27"/>
      <c r="AQ32" s="27"/>
      <c r="AR32" s="27"/>
    </row>
    <row r="33" spans="1:44" ht="15.75" x14ac:dyDescent="0.25">
      <c r="A33" s="61" t="s">
        <v>532</v>
      </c>
      <c r="B33" s="169">
        <v>1270766</v>
      </c>
      <c r="C33" s="160">
        <v>371373</v>
      </c>
      <c r="D33" s="160">
        <v>282358</v>
      </c>
      <c r="E33" s="160">
        <v>269523</v>
      </c>
      <c r="F33" s="160">
        <v>347513</v>
      </c>
      <c r="G33" s="75">
        <v>0.28999999999999998</v>
      </c>
      <c r="H33" s="75">
        <v>0.22</v>
      </c>
      <c r="I33" s="75">
        <v>0.21</v>
      </c>
      <c r="J33" s="75">
        <v>0.27</v>
      </c>
      <c r="K33" s="27"/>
      <c r="L33" s="190"/>
      <c r="M33" s="190"/>
      <c r="N33" s="190"/>
      <c r="O33" s="190"/>
      <c r="P33" s="190"/>
      <c r="Q33" s="191"/>
      <c r="R33" s="191"/>
      <c r="S33" s="191"/>
      <c r="T33" s="191"/>
      <c r="U33" s="27"/>
      <c r="V33" s="37"/>
      <c r="W33" s="37"/>
      <c r="X33" s="37"/>
      <c r="Y33" s="37"/>
      <c r="Z33" s="37"/>
      <c r="AA33" s="37"/>
      <c r="AB33" s="37"/>
      <c r="AC33" s="37"/>
      <c r="AD33" s="37"/>
      <c r="AE33" s="27"/>
      <c r="AF33" s="27"/>
      <c r="AG33" s="27"/>
      <c r="AH33" s="27"/>
      <c r="AI33" s="27"/>
      <c r="AJ33" s="27"/>
      <c r="AK33" s="27"/>
      <c r="AL33" s="27"/>
      <c r="AM33" s="27"/>
      <c r="AN33" s="27"/>
      <c r="AO33" s="27"/>
      <c r="AP33" s="27"/>
      <c r="AQ33" s="27"/>
      <c r="AR33" s="27"/>
    </row>
    <row r="34" spans="1:44" ht="15.75" x14ac:dyDescent="0.25">
      <c r="A34" s="61" t="s">
        <v>533</v>
      </c>
      <c r="B34" s="169">
        <v>145753</v>
      </c>
      <c r="C34" s="160">
        <v>38748</v>
      </c>
      <c r="D34" s="160">
        <v>37793</v>
      </c>
      <c r="E34" s="160">
        <v>31835</v>
      </c>
      <c r="F34" s="160">
        <v>37378</v>
      </c>
      <c r="G34" s="75">
        <v>0.27</v>
      </c>
      <c r="H34" s="75">
        <v>0.26</v>
      </c>
      <c r="I34" s="75">
        <v>0.22</v>
      </c>
      <c r="J34" s="75">
        <v>0.26</v>
      </c>
      <c r="K34" s="27"/>
      <c r="L34" s="190"/>
      <c r="M34" s="190"/>
      <c r="N34" s="190"/>
      <c r="O34" s="190"/>
      <c r="P34" s="190"/>
      <c r="Q34" s="191"/>
      <c r="R34" s="191"/>
      <c r="S34" s="191"/>
      <c r="T34" s="191"/>
      <c r="U34" s="27"/>
      <c r="V34" s="37"/>
      <c r="W34" s="37"/>
      <c r="X34" s="37"/>
      <c r="Y34" s="37"/>
      <c r="Z34" s="37"/>
      <c r="AA34" s="37"/>
      <c r="AB34" s="37"/>
      <c r="AC34" s="37"/>
      <c r="AD34" s="37"/>
      <c r="AE34" s="27"/>
      <c r="AF34" s="27"/>
      <c r="AG34" s="27"/>
      <c r="AH34" s="27"/>
      <c r="AI34" s="27"/>
      <c r="AJ34" s="27"/>
      <c r="AK34" s="27"/>
      <c r="AL34" s="27"/>
      <c r="AM34" s="27"/>
      <c r="AN34" s="27"/>
      <c r="AO34" s="27"/>
      <c r="AP34" s="27"/>
      <c r="AQ34" s="27"/>
      <c r="AR34" s="27"/>
    </row>
    <row r="35" spans="1:44" ht="15.75" x14ac:dyDescent="0.25">
      <c r="A35" s="61" t="s">
        <v>534</v>
      </c>
      <c r="B35" s="169">
        <v>1541989</v>
      </c>
      <c r="C35" s="160">
        <v>444063</v>
      </c>
      <c r="D35" s="160">
        <v>332183</v>
      </c>
      <c r="E35" s="160">
        <v>302335</v>
      </c>
      <c r="F35" s="160">
        <v>463408</v>
      </c>
      <c r="G35" s="75">
        <v>0.28999999999999998</v>
      </c>
      <c r="H35" s="75">
        <v>0.22</v>
      </c>
      <c r="I35" s="75">
        <v>0.2</v>
      </c>
      <c r="J35" s="75">
        <v>0.3</v>
      </c>
      <c r="K35" s="27"/>
      <c r="L35" s="190"/>
      <c r="M35" s="190"/>
      <c r="N35" s="190"/>
      <c r="O35" s="190"/>
      <c r="P35" s="190"/>
      <c r="Q35" s="191"/>
      <c r="R35" s="191"/>
      <c r="S35" s="191"/>
      <c r="T35" s="191"/>
      <c r="U35" s="27"/>
      <c r="V35" s="37"/>
      <c r="W35" s="37"/>
      <c r="X35" s="37"/>
      <c r="Y35" s="37"/>
      <c r="Z35" s="37"/>
      <c r="AA35" s="37"/>
      <c r="AB35" s="37"/>
      <c r="AC35" s="37"/>
      <c r="AD35" s="37"/>
      <c r="AE35" s="27"/>
      <c r="AF35" s="27"/>
      <c r="AG35" s="27"/>
      <c r="AH35" s="27"/>
      <c r="AI35" s="27"/>
      <c r="AJ35" s="27"/>
      <c r="AK35" s="27"/>
      <c r="AL35" s="27"/>
      <c r="AM35" s="27"/>
      <c r="AN35" s="27"/>
      <c r="AO35" s="27"/>
      <c r="AP35" s="27"/>
      <c r="AQ35" s="27"/>
      <c r="AR35" s="27"/>
    </row>
    <row r="36" spans="1:44" ht="15.75" x14ac:dyDescent="0.25">
      <c r="A36" s="61" t="s">
        <v>535</v>
      </c>
      <c r="B36" s="169">
        <v>4648085</v>
      </c>
      <c r="C36" s="160">
        <v>1380636</v>
      </c>
      <c r="D36" s="160">
        <v>991773</v>
      </c>
      <c r="E36" s="160">
        <v>865135</v>
      </c>
      <c r="F36" s="160">
        <v>1410542</v>
      </c>
      <c r="G36" s="75">
        <v>0.3</v>
      </c>
      <c r="H36" s="75">
        <v>0.21</v>
      </c>
      <c r="I36" s="75">
        <v>0.19</v>
      </c>
      <c r="J36" s="75">
        <v>0.3</v>
      </c>
      <c r="K36" s="27"/>
      <c r="L36" s="190"/>
      <c r="M36" s="190"/>
      <c r="N36" s="190"/>
      <c r="O36" s="190"/>
      <c r="P36" s="190"/>
      <c r="Q36" s="191"/>
      <c r="R36" s="191"/>
      <c r="S36" s="191"/>
      <c r="T36" s="191"/>
      <c r="U36" s="27"/>
      <c r="V36" s="37"/>
      <c r="W36" s="37"/>
      <c r="X36" s="37"/>
      <c r="Y36" s="37"/>
      <c r="Z36" s="37"/>
      <c r="AA36" s="37"/>
      <c r="AB36" s="37"/>
      <c r="AC36" s="37"/>
      <c r="AD36" s="37"/>
      <c r="AE36" s="27"/>
      <c r="AF36" s="27"/>
      <c r="AG36" s="27"/>
      <c r="AH36" s="27"/>
      <c r="AI36" s="27"/>
      <c r="AJ36" s="27"/>
      <c r="AK36" s="27"/>
      <c r="AL36" s="27"/>
      <c r="AM36" s="27"/>
      <c r="AN36" s="27"/>
      <c r="AO36" s="27"/>
      <c r="AP36" s="27"/>
      <c r="AQ36" s="27"/>
      <c r="AR36" s="27"/>
    </row>
    <row r="37" spans="1:44" ht="15.75" x14ac:dyDescent="0.25">
      <c r="A37" s="61" t="s">
        <v>536</v>
      </c>
      <c r="B37" s="169">
        <v>905033</v>
      </c>
      <c r="C37" s="160">
        <v>265638</v>
      </c>
      <c r="D37" s="160">
        <v>193070</v>
      </c>
      <c r="E37" s="160">
        <v>162225</v>
      </c>
      <c r="F37" s="160">
        <v>284100</v>
      </c>
      <c r="G37" s="75">
        <v>0.28999999999999998</v>
      </c>
      <c r="H37" s="75">
        <v>0.21</v>
      </c>
      <c r="I37" s="75">
        <v>0.18</v>
      </c>
      <c r="J37" s="75">
        <v>0.31</v>
      </c>
      <c r="K37" s="27"/>
      <c r="L37" s="190"/>
      <c r="M37" s="190"/>
      <c r="N37" s="190"/>
      <c r="O37" s="190"/>
      <c r="P37" s="190"/>
      <c r="Q37" s="191"/>
      <c r="R37" s="191"/>
      <c r="S37" s="191"/>
      <c r="T37" s="191"/>
      <c r="U37" s="27"/>
      <c r="V37" s="37"/>
      <c r="W37" s="37"/>
      <c r="X37" s="37"/>
      <c r="Y37" s="37"/>
      <c r="Z37" s="37"/>
      <c r="AA37" s="37"/>
      <c r="AB37" s="37"/>
      <c r="AC37" s="37"/>
      <c r="AD37" s="37"/>
      <c r="AE37" s="27"/>
      <c r="AF37" s="27"/>
      <c r="AG37" s="27"/>
      <c r="AH37" s="27"/>
      <c r="AI37" s="27"/>
      <c r="AJ37" s="27"/>
      <c r="AK37" s="27"/>
      <c r="AL37" s="27"/>
      <c r="AM37" s="27"/>
      <c r="AN37" s="27"/>
      <c r="AO37" s="27"/>
      <c r="AP37" s="27"/>
      <c r="AQ37" s="27"/>
      <c r="AR37" s="27"/>
    </row>
    <row r="38" spans="1:44" ht="15.75" x14ac:dyDescent="0.25">
      <c r="A38" s="61" t="s">
        <v>537</v>
      </c>
      <c r="B38" s="169">
        <v>1799270</v>
      </c>
      <c r="C38" s="160">
        <v>527319</v>
      </c>
      <c r="D38" s="160">
        <v>383230</v>
      </c>
      <c r="E38" s="160">
        <v>346940</v>
      </c>
      <c r="F38" s="160">
        <v>541781</v>
      </c>
      <c r="G38" s="75">
        <v>0.28999999999999998</v>
      </c>
      <c r="H38" s="75">
        <v>0.21</v>
      </c>
      <c r="I38" s="75">
        <v>0.19</v>
      </c>
      <c r="J38" s="75">
        <v>0.3</v>
      </c>
      <c r="K38" s="27"/>
      <c r="L38" s="190"/>
      <c r="M38" s="190"/>
      <c r="N38" s="190"/>
      <c r="O38" s="190"/>
      <c r="P38" s="190"/>
      <c r="Q38" s="191"/>
      <c r="R38" s="191"/>
      <c r="S38" s="191"/>
      <c r="T38" s="191"/>
      <c r="U38" s="27"/>
      <c r="V38" s="37"/>
      <c r="W38" s="37"/>
      <c r="X38" s="37"/>
      <c r="Y38" s="37"/>
      <c r="Z38" s="37"/>
      <c r="AA38" s="37"/>
      <c r="AB38" s="37"/>
      <c r="AC38" s="37"/>
      <c r="AD38" s="37"/>
      <c r="AE38" s="27"/>
      <c r="AF38" s="27"/>
      <c r="AG38" s="27"/>
      <c r="AH38" s="27"/>
      <c r="AI38" s="27"/>
      <c r="AJ38" s="27"/>
      <c r="AK38" s="27"/>
      <c r="AL38" s="27"/>
      <c r="AM38" s="27"/>
      <c r="AN38" s="27"/>
      <c r="AO38" s="27"/>
      <c r="AP38" s="27"/>
      <c r="AQ38" s="27"/>
      <c r="AR38" s="27"/>
    </row>
    <row r="39" spans="1:44" ht="15.75" x14ac:dyDescent="0.25">
      <c r="A39" s="61" t="s">
        <v>538</v>
      </c>
      <c r="B39" s="169">
        <v>2836085</v>
      </c>
      <c r="C39" s="160">
        <v>792285</v>
      </c>
      <c r="D39" s="160">
        <v>623243</v>
      </c>
      <c r="E39" s="160">
        <v>571183</v>
      </c>
      <c r="F39" s="160">
        <v>849375</v>
      </c>
      <c r="G39" s="75">
        <v>0.28000000000000003</v>
      </c>
      <c r="H39" s="75">
        <v>0.22</v>
      </c>
      <c r="I39" s="75">
        <v>0.2</v>
      </c>
      <c r="J39" s="75">
        <v>0.3</v>
      </c>
      <c r="K39" s="27"/>
      <c r="L39" s="190"/>
      <c r="M39" s="190"/>
      <c r="N39" s="190"/>
      <c r="O39" s="190"/>
      <c r="P39" s="190"/>
      <c r="Q39" s="191"/>
      <c r="R39" s="191"/>
      <c r="S39" s="191"/>
      <c r="T39" s="191"/>
      <c r="U39" s="27"/>
      <c r="V39" s="37"/>
      <c r="W39" s="37"/>
      <c r="X39" s="37"/>
      <c r="Y39" s="37"/>
      <c r="Z39" s="37"/>
      <c r="AA39" s="37"/>
      <c r="AB39" s="37"/>
      <c r="AC39" s="37"/>
      <c r="AD39" s="37"/>
      <c r="AE39" s="27"/>
      <c r="AF39" s="27"/>
      <c r="AG39" s="27"/>
      <c r="AH39" s="27"/>
      <c r="AI39" s="27"/>
      <c r="AJ39" s="27"/>
      <c r="AK39" s="27"/>
      <c r="AL39" s="27"/>
      <c r="AM39" s="27"/>
      <c r="AN39" s="27"/>
      <c r="AO39" s="27"/>
      <c r="AP39" s="27"/>
      <c r="AQ39" s="27"/>
      <c r="AR39" s="27"/>
    </row>
    <row r="40" spans="1:44" ht="15.75" x14ac:dyDescent="0.25">
      <c r="A40" s="61" t="s">
        <v>539</v>
      </c>
      <c r="B40" s="169">
        <v>496710</v>
      </c>
      <c r="C40" s="160">
        <v>79047</v>
      </c>
      <c r="D40" s="160">
        <v>36065</v>
      </c>
      <c r="E40" s="160">
        <v>20600</v>
      </c>
      <c r="F40" s="160">
        <v>360998</v>
      </c>
      <c r="G40" s="75">
        <v>0.16</v>
      </c>
      <c r="H40" s="75">
        <v>7.0000000000000007E-2</v>
      </c>
      <c r="I40" s="75">
        <v>0.04</v>
      </c>
      <c r="J40" s="75">
        <v>0.73</v>
      </c>
      <c r="K40" s="27"/>
      <c r="L40" s="190"/>
      <c r="M40" s="190"/>
      <c r="N40" s="190"/>
      <c r="O40" s="190"/>
      <c r="P40" s="190"/>
      <c r="Q40" s="191"/>
      <c r="R40" s="191"/>
      <c r="S40" s="191"/>
      <c r="T40" s="191"/>
      <c r="U40" s="27"/>
      <c r="V40" s="37"/>
      <c r="W40" s="37"/>
      <c r="X40" s="37"/>
      <c r="Y40" s="37"/>
      <c r="Z40" s="37"/>
      <c r="AA40" s="37"/>
      <c r="AB40" s="37"/>
      <c r="AC40" s="37"/>
      <c r="AD40" s="37"/>
      <c r="AE40" s="27"/>
      <c r="AF40" s="27"/>
      <c r="AG40" s="27"/>
      <c r="AH40" s="27"/>
      <c r="AI40" s="27"/>
      <c r="AJ40" s="27"/>
      <c r="AK40" s="27"/>
      <c r="AL40" s="27"/>
      <c r="AM40" s="27"/>
      <c r="AN40" s="27"/>
      <c r="AO40" s="27"/>
      <c r="AP40" s="27"/>
      <c r="AQ40" s="27"/>
      <c r="AR40" s="27"/>
    </row>
    <row r="41" spans="1:44" ht="15.75" x14ac:dyDescent="0.25">
      <c r="A41" s="61" t="s">
        <v>540</v>
      </c>
      <c r="B41" s="169">
        <v>168560</v>
      </c>
      <c r="C41" s="160">
        <v>55545</v>
      </c>
      <c r="D41" s="160">
        <v>38548</v>
      </c>
      <c r="E41" s="160">
        <v>19298</v>
      </c>
      <c r="F41" s="160">
        <v>55170</v>
      </c>
      <c r="G41" s="75">
        <v>0.33</v>
      </c>
      <c r="H41" s="75">
        <v>0.23</v>
      </c>
      <c r="I41" s="75">
        <v>0.11</v>
      </c>
      <c r="J41" s="75">
        <v>0.33</v>
      </c>
      <c r="K41" s="79"/>
      <c r="L41" s="190"/>
      <c r="M41" s="190"/>
      <c r="N41" s="190"/>
      <c r="O41" s="190"/>
      <c r="P41" s="190"/>
      <c r="Q41" s="191"/>
      <c r="R41" s="191"/>
      <c r="S41" s="191"/>
      <c r="T41" s="191"/>
      <c r="U41" s="27"/>
      <c r="V41" s="37"/>
      <c r="W41" s="37"/>
      <c r="X41" s="37"/>
      <c r="Y41" s="37"/>
      <c r="Z41" s="37"/>
      <c r="AA41" s="37"/>
      <c r="AB41" s="37"/>
      <c r="AC41" s="37"/>
      <c r="AD41" s="37"/>
      <c r="AE41" s="27"/>
      <c r="AF41" s="27"/>
      <c r="AG41" s="27"/>
      <c r="AH41" s="27"/>
      <c r="AI41" s="27"/>
      <c r="AJ41" s="27"/>
      <c r="AK41" s="27"/>
      <c r="AL41" s="27"/>
      <c r="AM41" s="27"/>
      <c r="AN41" s="27"/>
      <c r="AO41" s="27"/>
      <c r="AP41" s="27"/>
      <c r="AQ41" s="27"/>
      <c r="AR41" s="27"/>
    </row>
    <row r="42" spans="1:44" ht="15.75" customHeight="1" x14ac:dyDescent="0.25">
      <c r="A42" s="61" t="s">
        <v>541</v>
      </c>
      <c r="B42" s="169">
        <v>14528</v>
      </c>
      <c r="C42" s="160">
        <v>4809</v>
      </c>
      <c r="D42" s="160">
        <v>3755</v>
      </c>
      <c r="E42" s="160">
        <v>2258</v>
      </c>
      <c r="F42" s="160">
        <v>3707</v>
      </c>
      <c r="G42" s="75">
        <v>0.33</v>
      </c>
      <c r="H42" s="75">
        <v>0.26</v>
      </c>
      <c r="I42" s="75">
        <v>0.16</v>
      </c>
      <c r="J42" s="75">
        <v>0.26</v>
      </c>
      <c r="K42" s="79"/>
      <c r="L42" s="190"/>
      <c r="M42" s="190"/>
      <c r="N42" s="190"/>
      <c r="O42" s="190"/>
      <c r="P42" s="190"/>
      <c r="Q42" s="191"/>
      <c r="R42" s="191"/>
      <c r="S42" s="191"/>
      <c r="T42" s="191"/>
      <c r="U42" s="27"/>
      <c r="V42" s="37"/>
      <c r="W42" s="37"/>
      <c r="X42" s="37"/>
      <c r="Y42" s="37"/>
      <c r="Z42" s="37"/>
      <c r="AA42" s="37"/>
      <c r="AB42" s="37"/>
      <c r="AC42" s="37"/>
      <c r="AD42" s="37"/>
      <c r="AE42" s="27"/>
      <c r="AF42" s="27"/>
      <c r="AG42" s="27"/>
      <c r="AH42" s="27"/>
      <c r="AI42" s="27"/>
      <c r="AJ42" s="27"/>
      <c r="AK42" s="27"/>
      <c r="AL42" s="27"/>
      <c r="AM42" s="27"/>
      <c r="AN42" s="27"/>
      <c r="AO42" s="27"/>
      <c r="AP42" s="27"/>
      <c r="AQ42" s="27"/>
      <c r="AR42" s="27"/>
    </row>
    <row r="43" spans="1:44" ht="225.75" customHeight="1" x14ac:dyDescent="0.25">
      <c r="A43" s="29" t="s">
        <v>303</v>
      </c>
      <c r="B43" s="27"/>
      <c r="C43" s="27"/>
      <c r="D43" s="27"/>
      <c r="E43" s="27"/>
      <c r="F43" s="27"/>
      <c r="G43" s="27"/>
      <c r="H43" s="27"/>
      <c r="I43" s="27"/>
      <c r="J43" s="27"/>
      <c r="K43" s="27"/>
      <c r="L43" s="27"/>
      <c r="M43" s="27"/>
      <c r="N43" s="79"/>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row>
    <row r="44" spans="1:44" ht="161.25" customHeight="1" x14ac:dyDescent="0.25">
      <c r="A44" s="29" t="s">
        <v>65</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row>
    <row r="45" spans="1:44" ht="15.75" x14ac:dyDescent="0.25">
      <c r="A45" s="37" t="s">
        <v>66</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row>
    <row r="46" spans="1:44" ht="15.75" x14ac:dyDescent="0.25">
      <c r="A46" s="37" t="s">
        <v>650</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row>
    <row r="47" spans="1:44" ht="15.75" x14ac:dyDescent="0.25">
      <c r="A47" s="37" t="s">
        <v>304</v>
      </c>
      <c r="B47" s="27"/>
      <c r="C47" s="27"/>
      <c r="D47" s="27"/>
      <c r="E47" s="27"/>
      <c r="F47" s="27"/>
      <c r="G47" s="27"/>
      <c r="H47" s="27"/>
      <c r="I47" s="27"/>
      <c r="J47" s="27"/>
      <c r="K47" s="27"/>
      <c r="L47" s="27"/>
      <c r="M47" s="27"/>
      <c r="N47" s="79"/>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row>
    <row r="48" spans="1:44" ht="15.75" x14ac:dyDescent="0.25">
      <c r="A48" s="46" t="s">
        <v>7</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row>
    <row r="49" spans="1:44" ht="15.75"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row>
    <row r="50" spans="1:44" ht="15.75"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row r="51" spans="1:44" ht="15.75"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row>
    <row r="52" spans="1:44" ht="15.75"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row>
    <row r="53" spans="1:44" ht="15.75"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row>
    <row r="54" spans="1:44" ht="15.75"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row>
    <row r="55" spans="1:44" ht="15.75"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row>
  </sheetData>
  <sheetProtection sheet="1" objects="1" scenarios="1"/>
  <conditionalFormatting sqref="G7:J42">
    <cfRule type="dataBar" priority="7">
      <dataBar>
        <cfvo type="num" val="0"/>
        <cfvo type="num" val="1"/>
        <color rgb="FFB4A9D4"/>
      </dataBar>
      <extLst>
        <ext xmlns:x14="http://schemas.microsoft.com/office/spreadsheetml/2009/9/main" uri="{B025F937-C7B1-47D3-B67F-A62EFF666E3E}">
          <x14:id>{4EF5EBC2-E626-4207-BF26-52310A9D7E8C}</x14:id>
        </ext>
      </extLst>
    </cfRule>
  </conditionalFormatting>
  <conditionalFormatting sqref="B8:B42">
    <cfRule type="top10" priority="1" rank="3"/>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EF5EBC2-E626-4207-BF26-52310A9D7E8C}">
            <x14:dataBar minLength="0" maxLength="100" gradient="0">
              <x14:cfvo type="num">
                <xm:f>0</xm:f>
              </x14:cfvo>
              <x14:cfvo type="num">
                <xm:f>1</xm:f>
              </x14:cfvo>
              <x14:negativeFillColor rgb="FFFF0000"/>
              <x14:axisColor rgb="FF000000"/>
            </x14:dataBar>
          </x14:cfRule>
          <xm:sqref>G7:J42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I61"/>
  <sheetViews>
    <sheetView zoomScale="75" zoomScaleNormal="75" workbookViewId="0"/>
  </sheetViews>
  <sheetFormatPr defaultRowHeight="15" x14ac:dyDescent="0.25"/>
  <cols>
    <col min="1" max="1" width="39.85546875" customWidth="1"/>
    <col min="2" max="10" width="19.140625" customWidth="1"/>
    <col min="11" max="11" width="16.85546875" customWidth="1"/>
  </cols>
  <sheetData>
    <row r="1" spans="1:35" ht="21" x14ac:dyDescent="0.35">
      <c r="A1" s="21" t="s">
        <v>39</v>
      </c>
      <c r="B1" s="85"/>
      <c r="C1" s="85"/>
      <c r="D1" s="85"/>
      <c r="E1" s="85"/>
      <c r="F1" s="85"/>
      <c r="G1" s="85"/>
      <c r="H1" s="30"/>
      <c r="I1" s="30"/>
      <c r="J1" s="30"/>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75" x14ac:dyDescent="0.25">
      <c r="A2" s="81" t="s">
        <v>305</v>
      </c>
      <c r="B2" s="63"/>
      <c r="C2" s="63"/>
      <c r="D2" s="63"/>
      <c r="E2" s="63"/>
      <c r="F2" s="63"/>
      <c r="G2" s="63"/>
      <c r="H2" s="30"/>
      <c r="I2" s="30"/>
      <c r="J2" s="30"/>
      <c r="K2" s="70"/>
      <c r="L2" s="70"/>
      <c r="M2" s="70"/>
      <c r="N2" s="70"/>
      <c r="O2" s="27"/>
      <c r="P2" s="27"/>
      <c r="Q2" s="27"/>
      <c r="R2" s="27"/>
      <c r="S2" s="27"/>
      <c r="T2" s="27"/>
      <c r="U2" s="27"/>
      <c r="V2" s="27"/>
      <c r="W2" s="27"/>
      <c r="X2" s="27"/>
      <c r="Y2" s="27"/>
      <c r="Z2" s="27"/>
      <c r="AA2" s="27"/>
      <c r="AB2" s="27"/>
      <c r="AC2" s="27"/>
      <c r="AD2" s="27"/>
      <c r="AE2" s="27"/>
      <c r="AF2" s="27"/>
      <c r="AG2" s="27"/>
      <c r="AH2" s="27"/>
      <c r="AI2" s="27"/>
    </row>
    <row r="3" spans="1:35" s="198" customFormat="1" ht="15.95" customHeight="1" x14ac:dyDescent="0.35">
      <c r="A3" s="222" t="s">
        <v>745</v>
      </c>
      <c r="B3" s="223"/>
      <c r="C3" s="223"/>
      <c r="D3" s="223"/>
      <c r="E3" s="223"/>
      <c r="F3" s="223"/>
      <c r="G3" s="223"/>
      <c r="H3" s="224"/>
      <c r="I3" s="224"/>
      <c r="J3" s="224"/>
      <c r="K3" s="224"/>
    </row>
    <row r="4" spans="1:35" s="198" customFormat="1" ht="15.95" customHeight="1" x14ac:dyDescent="0.35">
      <c r="A4" s="222" t="s">
        <v>746</v>
      </c>
      <c r="B4" s="223"/>
      <c r="C4" s="223"/>
      <c r="D4" s="223"/>
      <c r="E4" s="223"/>
      <c r="F4" s="223"/>
      <c r="G4" s="223"/>
      <c r="H4" s="224"/>
      <c r="I4" s="224"/>
      <c r="J4" s="224"/>
      <c r="K4" s="224"/>
    </row>
    <row r="5" spans="1:35" s="9" customFormat="1" ht="16.5" customHeight="1" x14ac:dyDescent="0.25">
      <c r="A5" s="26" t="s">
        <v>747</v>
      </c>
      <c r="B5" s="63"/>
      <c r="C5" s="63"/>
      <c r="D5" s="63"/>
      <c r="E5" s="63"/>
      <c r="F5" s="63"/>
      <c r="G5" s="63"/>
      <c r="H5" s="30"/>
      <c r="I5" s="30"/>
      <c r="J5" s="30"/>
      <c r="K5" s="70"/>
      <c r="L5" s="70"/>
      <c r="M5" s="70"/>
      <c r="N5" s="70"/>
      <c r="O5" s="27"/>
      <c r="P5" s="27"/>
      <c r="Q5" s="27"/>
      <c r="R5" s="27"/>
      <c r="S5" s="27"/>
      <c r="T5" s="27"/>
      <c r="U5" s="27"/>
      <c r="V5" s="27"/>
      <c r="W5" s="27"/>
      <c r="X5" s="27"/>
      <c r="Y5" s="27"/>
      <c r="Z5" s="27"/>
      <c r="AA5" s="27"/>
      <c r="AB5" s="27"/>
      <c r="AC5" s="27"/>
      <c r="AD5" s="27"/>
      <c r="AE5" s="27"/>
      <c r="AF5" s="27"/>
      <c r="AG5" s="27"/>
      <c r="AH5" s="27"/>
      <c r="AI5" s="27"/>
    </row>
    <row r="6" spans="1:35" ht="84" customHeight="1" x14ac:dyDescent="0.25">
      <c r="A6" s="38" t="s">
        <v>658</v>
      </c>
      <c r="B6" s="32" t="s">
        <v>661</v>
      </c>
      <c r="C6" s="32" t="s">
        <v>717</v>
      </c>
      <c r="D6" s="32" t="s">
        <v>662</v>
      </c>
      <c r="E6" s="32" t="s">
        <v>716</v>
      </c>
      <c r="F6" s="32" t="s">
        <v>663</v>
      </c>
      <c r="G6" s="32" t="s">
        <v>321</v>
      </c>
      <c r="H6" s="32" t="s">
        <v>322</v>
      </c>
      <c r="I6" s="32" t="s">
        <v>323</v>
      </c>
      <c r="J6" s="32" t="s">
        <v>324</v>
      </c>
      <c r="K6" s="68"/>
      <c r="L6" s="27"/>
      <c r="M6" s="27"/>
      <c r="N6" s="27"/>
      <c r="O6" s="27"/>
      <c r="P6" s="27"/>
      <c r="Q6" s="27"/>
      <c r="R6" s="27"/>
      <c r="S6" s="27"/>
      <c r="T6" s="27"/>
      <c r="U6" s="27"/>
      <c r="V6" s="27"/>
      <c r="W6" s="27"/>
      <c r="X6" s="27"/>
      <c r="Y6" s="27"/>
      <c r="Z6" s="27"/>
      <c r="AA6" s="27"/>
      <c r="AB6" s="27"/>
      <c r="AC6" s="27"/>
      <c r="AD6" s="27"/>
      <c r="AE6" s="27"/>
      <c r="AF6" s="27"/>
      <c r="AG6" s="27"/>
      <c r="AH6" s="27"/>
      <c r="AI6" s="27"/>
    </row>
    <row r="7" spans="1:35" ht="15.75" x14ac:dyDescent="0.25">
      <c r="A7" s="34" t="s">
        <v>6</v>
      </c>
      <c r="B7" s="161">
        <v>76612728</v>
      </c>
      <c r="C7" s="161">
        <v>22282506</v>
      </c>
      <c r="D7" s="161">
        <v>16473050</v>
      </c>
      <c r="E7" s="161">
        <v>14493308</v>
      </c>
      <c r="F7" s="161">
        <v>23363865</v>
      </c>
      <c r="G7" s="96">
        <v>0.28999999999999998</v>
      </c>
      <c r="H7" s="96">
        <v>0.22</v>
      </c>
      <c r="I7" s="96">
        <v>0.19</v>
      </c>
      <c r="J7" s="97">
        <v>0.3</v>
      </c>
      <c r="K7" s="27"/>
      <c r="L7" s="190"/>
      <c r="M7" s="190"/>
      <c r="N7" s="190"/>
      <c r="O7" s="190"/>
      <c r="P7" s="190"/>
      <c r="Q7" s="191"/>
      <c r="R7" s="191"/>
      <c r="S7" s="191"/>
      <c r="T7" s="191"/>
      <c r="U7" s="27"/>
      <c r="V7" s="27"/>
      <c r="W7" s="37"/>
      <c r="X7" s="37"/>
      <c r="Y7" s="37"/>
      <c r="Z7" s="37"/>
      <c r="AA7" s="37"/>
      <c r="AB7" s="37"/>
      <c r="AC7" s="37"/>
      <c r="AD7" s="37"/>
      <c r="AE7" s="196"/>
      <c r="AF7" s="27"/>
      <c r="AG7" s="27"/>
      <c r="AH7" s="27"/>
      <c r="AI7" s="27"/>
    </row>
    <row r="8" spans="1:35" ht="15.75" x14ac:dyDescent="0.25">
      <c r="A8" s="35" t="s">
        <v>259</v>
      </c>
      <c r="B8" s="156">
        <v>421800</v>
      </c>
      <c r="C8" s="157">
        <v>421800</v>
      </c>
      <c r="D8" s="157">
        <v>0</v>
      </c>
      <c r="E8" s="157">
        <v>0</v>
      </c>
      <c r="F8" s="157">
        <v>0</v>
      </c>
      <c r="G8" s="75">
        <v>1</v>
      </c>
      <c r="H8" s="75">
        <v>0</v>
      </c>
      <c r="I8" s="75">
        <v>0</v>
      </c>
      <c r="J8" s="75">
        <v>0</v>
      </c>
      <c r="K8" s="27"/>
      <c r="L8" s="190"/>
      <c r="M8" s="190"/>
      <c r="N8" s="190"/>
      <c r="O8" s="190"/>
      <c r="P8" s="190"/>
      <c r="Q8" s="191"/>
      <c r="R8" s="191"/>
      <c r="S8" s="191"/>
      <c r="T8" s="191"/>
      <c r="U8" s="27"/>
      <c r="V8" s="37"/>
      <c r="W8" s="37"/>
      <c r="X8" s="37"/>
      <c r="Y8" s="37"/>
      <c r="Z8" s="37"/>
      <c r="AA8" s="37"/>
      <c r="AB8" s="37"/>
      <c r="AC8" s="37"/>
      <c r="AD8" s="37"/>
      <c r="AE8" s="196"/>
      <c r="AF8" s="27"/>
      <c r="AG8" s="27"/>
      <c r="AH8" s="27"/>
      <c r="AI8" s="27"/>
    </row>
    <row r="9" spans="1:35" ht="15.75" x14ac:dyDescent="0.25">
      <c r="A9" s="35" t="s">
        <v>260</v>
      </c>
      <c r="B9" s="156">
        <v>2132700</v>
      </c>
      <c r="C9" s="157">
        <v>2132700</v>
      </c>
      <c r="D9" s="157">
        <v>0</v>
      </c>
      <c r="E9" s="157">
        <v>0</v>
      </c>
      <c r="F9" s="157">
        <v>0</v>
      </c>
      <c r="G9" s="75">
        <v>1</v>
      </c>
      <c r="H9" s="75">
        <v>0</v>
      </c>
      <c r="I9" s="75">
        <v>0</v>
      </c>
      <c r="J9" s="75">
        <v>0</v>
      </c>
      <c r="K9" s="27"/>
      <c r="L9" s="190"/>
      <c r="M9" s="190"/>
      <c r="N9" s="190"/>
      <c r="O9" s="190"/>
      <c r="P9" s="190"/>
      <c r="Q9" s="191"/>
      <c r="R9" s="191"/>
      <c r="S9" s="191"/>
      <c r="T9" s="191"/>
      <c r="U9" s="27"/>
      <c r="V9" s="37"/>
      <c r="W9" s="37"/>
      <c r="X9" s="37"/>
      <c r="Y9" s="37"/>
      <c r="Z9" s="37"/>
      <c r="AA9" s="37"/>
      <c r="AB9" s="37"/>
      <c r="AC9" s="37"/>
      <c r="AD9" s="37"/>
      <c r="AE9" s="196"/>
      <c r="AF9" s="27"/>
      <c r="AG9" s="27"/>
      <c r="AH9" s="27"/>
      <c r="AI9" s="27"/>
    </row>
    <row r="10" spans="1:35" ht="15.75" x14ac:dyDescent="0.25">
      <c r="A10" s="35" t="s">
        <v>261</v>
      </c>
      <c r="B10" s="156">
        <v>705900</v>
      </c>
      <c r="C10" s="157">
        <v>705900</v>
      </c>
      <c r="D10" s="157">
        <v>0</v>
      </c>
      <c r="E10" s="157">
        <v>0</v>
      </c>
      <c r="F10" s="157">
        <v>0</v>
      </c>
      <c r="G10" s="75">
        <v>1</v>
      </c>
      <c r="H10" s="75">
        <v>0</v>
      </c>
      <c r="I10" s="75">
        <v>0</v>
      </c>
      <c r="J10" s="75">
        <v>0</v>
      </c>
      <c r="K10" s="27"/>
      <c r="L10" s="190"/>
      <c r="M10" s="190"/>
      <c r="N10" s="190"/>
      <c r="O10" s="190"/>
      <c r="P10" s="190"/>
      <c r="Q10" s="191"/>
      <c r="R10" s="191"/>
      <c r="S10" s="191"/>
      <c r="T10" s="191"/>
      <c r="U10" s="27"/>
      <c r="V10" s="37"/>
      <c r="W10" s="37"/>
      <c r="X10" s="37"/>
      <c r="Y10" s="37"/>
      <c r="Z10" s="37"/>
      <c r="AA10" s="37"/>
      <c r="AB10" s="37"/>
      <c r="AC10" s="37"/>
      <c r="AD10" s="37"/>
      <c r="AE10" s="196"/>
      <c r="AF10" s="27"/>
      <c r="AG10" s="27"/>
      <c r="AH10" s="27"/>
      <c r="AI10" s="27"/>
    </row>
    <row r="11" spans="1:35" ht="15.75" x14ac:dyDescent="0.25">
      <c r="A11" s="35" t="s">
        <v>264</v>
      </c>
      <c r="B11" s="156">
        <v>811800</v>
      </c>
      <c r="C11" s="157">
        <v>811800</v>
      </c>
      <c r="D11" s="157">
        <v>0</v>
      </c>
      <c r="E11" s="157">
        <v>0</v>
      </c>
      <c r="F11" s="157">
        <v>0</v>
      </c>
      <c r="G11" s="75">
        <v>1</v>
      </c>
      <c r="H11" s="75">
        <v>0</v>
      </c>
      <c r="I11" s="75">
        <v>0</v>
      </c>
      <c r="J11" s="75">
        <v>0</v>
      </c>
      <c r="K11" s="27"/>
      <c r="L11" s="190"/>
      <c r="M11" s="190"/>
      <c r="N11" s="190"/>
      <c r="O11" s="190"/>
      <c r="P11" s="190"/>
      <c r="Q11" s="191"/>
      <c r="R11" s="191"/>
      <c r="S11" s="191"/>
      <c r="T11" s="191"/>
      <c r="U11" s="27"/>
      <c r="V11" s="37"/>
      <c r="W11" s="37"/>
      <c r="X11" s="37"/>
      <c r="Y11" s="37"/>
      <c r="Z11" s="37"/>
      <c r="AA11" s="37"/>
      <c r="AB11" s="37"/>
      <c r="AC11" s="37"/>
      <c r="AD11" s="37"/>
      <c r="AE11" s="196"/>
      <c r="AF11" s="27"/>
      <c r="AG11" s="27"/>
      <c r="AH11" s="27"/>
      <c r="AI11" s="27"/>
    </row>
    <row r="12" spans="1:35" ht="15.75" x14ac:dyDescent="0.25">
      <c r="A12" s="35" t="s">
        <v>265</v>
      </c>
      <c r="B12" s="156">
        <v>692400</v>
      </c>
      <c r="C12" s="157">
        <v>692400</v>
      </c>
      <c r="D12" s="157">
        <v>0</v>
      </c>
      <c r="E12" s="157">
        <v>0</v>
      </c>
      <c r="F12" s="157">
        <v>0</v>
      </c>
      <c r="G12" s="75">
        <v>1</v>
      </c>
      <c r="H12" s="75">
        <v>0</v>
      </c>
      <c r="I12" s="75">
        <v>0</v>
      </c>
      <c r="J12" s="75">
        <v>0</v>
      </c>
      <c r="K12" s="27"/>
      <c r="L12" s="190"/>
      <c r="M12" s="190"/>
      <c r="N12" s="190"/>
      <c r="O12" s="190"/>
      <c r="P12" s="190"/>
      <c r="Q12" s="191"/>
      <c r="R12" s="191"/>
      <c r="S12" s="191"/>
      <c r="T12" s="191"/>
      <c r="U12" s="27"/>
      <c r="V12" s="37"/>
      <c r="W12" s="37"/>
      <c r="X12" s="37"/>
      <c r="Y12" s="37"/>
      <c r="Z12" s="37"/>
      <c r="AA12" s="37"/>
      <c r="AB12" s="37"/>
      <c r="AC12" s="37"/>
      <c r="AD12" s="37"/>
      <c r="AE12" s="196"/>
      <c r="AF12" s="27"/>
      <c r="AG12" s="27"/>
      <c r="AH12" s="27"/>
      <c r="AI12" s="27"/>
    </row>
    <row r="13" spans="1:35" ht="15.75" x14ac:dyDescent="0.25">
      <c r="A13" s="35" t="s">
        <v>266</v>
      </c>
      <c r="B13" s="156">
        <v>3401350</v>
      </c>
      <c r="C13" s="157">
        <v>680100</v>
      </c>
      <c r="D13" s="157">
        <v>2721250</v>
      </c>
      <c r="E13" s="157">
        <v>0</v>
      </c>
      <c r="F13" s="157">
        <v>0</v>
      </c>
      <c r="G13" s="75">
        <v>0.2</v>
      </c>
      <c r="H13" s="75">
        <v>0.8</v>
      </c>
      <c r="I13" s="75">
        <v>0</v>
      </c>
      <c r="J13" s="75">
        <v>0</v>
      </c>
      <c r="K13" s="27"/>
      <c r="L13" s="190"/>
      <c r="M13" s="190"/>
      <c r="N13" s="190"/>
      <c r="O13" s="190"/>
      <c r="P13" s="190"/>
      <c r="Q13" s="191"/>
      <c r="R13" s="191"/>
      <c r="S13" s="191"/>
      <c r="T13" s="191"/>
      <c r="U13" s="27"/>
      <c r="V13" s="37"/>
      <c r="W13" s="37"/>
      <c r="X13" s="37"/>
      <c r="Y13" s="37"/>
      <c r="Z13" s="37"/>
      <c r="AA13" s="37"/>
      <c r="AB13" s="37"/>
      <c r="AC13" s="37"/>
      <c r="AD13" s="37"/>
      <c r="AE13" s="196"/>
      <c r="AF13" s="27"/>
      <c r="AG13" s="27"/>
      <c r="AH13" s="27"/>
      <c r="AI13" s="27"/>
    </row>
    <row r="14" spans="1:35" ht="15.75" x14ac:dyDescent="0.25">
      <c r="A14" s="35" t="s">
        <v>267</v>
      </c>
      <c r="B14" s="156">
        <v>4034050</v>
      </c>
      <c r="C14" s="157">
        <v>589800</v>
      </c>
      <c r="D14" s="157">
        <v>1393250</v>
      </c>
      <c r="E14" s="157">
        <v>2051000</v>
      </c>
      <c r="F14" s="157">
        <v>0</v>
      </c>
      <c r="G14" s="75">
        <v>0.15</v>
      </c>
      <c r="H14" s="75">
        <v>0.35</v>
      </c>
      <c r="I14" s="75">
        <v>0.51</v>
      </c>
      <c r="J14" s="75">
        <v>0</v>
      </c>
      <c r="K14" s="27"/>
      <c r="L14" s="190"/>
      <c r="M14" s="190"/>
      <c r="N14" s="190"/>
      <c r="O14" s="190"/>
      <c r="P14" s="190"/>
      <c r="Q14" s="191"/>
      <c r="R14" s="191"/>
      <c r="S14" s="191"/>
      <c r="T14" s="191"/>
      <c r="U14" s="27"/>
      <c r="V14" s="37"/>
      <c r="W14" s="37"/>
      <c r="X14" s="37"/>
      <c r="Y14" s="37"/>
      <c r="Z14" s="37"/>
      <c r="AA14" s="37"/>
      <c r="AB14" s="37"/>
      <c r="AC14" s="37"/>
      <c r="AD14" s="37"/>
      <c r="AE14" s="196"/>
      <c r="AF14" s="27"/>
      <c r="AG14" s="27"/>
      <c r="AH14" s="27"/>
      <c r="AI14" s="27"/>
    </row>
    <row r="15" spans="1:35" ht="15.75" x14ac:dyDescent="0.25">
      <c r="A15" s="35" t="s">
        <v>268</v>
      </c>
      <c r="B15" s="156">
        <v>3243000</v>
      </c>
      <c r="C15" s="157">
        <v>714000</v>
      </c>
      <c r="D15" s="157">
        <v>1106500</v>
      </c>
      <c r="E15" s="157">
        <v>1422500</v>
      </c>
      <c r="F15" s="157">
        <v>0</v>
      </c>
      <c r="G15" s="75">
        <v>0.22</v>
      </c>
      <c r="H15" s="75">
        <v>0.34</v>
      </c>
      <c r="I15" s="75">
        <v>0.44</v>
      </c>
      <c r="J15" s="75">
        <v>0</v>
      </c>
      <c r="K15" s="27"/>
      <c r="L15" s="190"/>
      <c r="M15" s="190"/>
      <c r="N15" s="190"/>
      <c r="O15" s="190"/>
      <c r="P15" s="190"/>
      <c r="Q15" s="191"/>
      <c r="R15" s="191"/>
      <c r="S15" s="191"/>
      <c r="T15" s="191"/>
      <c r="U15" s="27"/>
      <c r="V15" s="37"/>
      <c r="W15" s="37"/>
      <c r="X15" s="37"/>
      <c r="Y15" s="37"/>
      <c r="Z15" s="37"/>
      <c r="AA15" s="37"/>
      <c r="AB15" s="37"/>
      <c r="AC15" s="37"/>
      <c r="AD15" s="37"/>
      <c r="AE15" s="196"/>
      <c r="AF15" s="27"/>
      <c r="AG15" s="27"/>
      <c r="AH15" s="27"/>
      <c r="AI15" s="27"/>
    </row>
    <row r="16" spans="1:35" ht="15.75" x14ac:dyDescent="0.25">
      <c r="A16" s="35" t="s">
        <v>269</v>
      </c>
      <c r="B16" s="156">
        <v>1373900</v>
      </c>
      <c r="C16" s="157">
        <v>576900</v>
      </c>
      <c r="D16" s="157">
        <v>447250</v>
      </c>
      <c r="E16" s="157">
        <v>349750</v>
      </c>
      <c r="F16" s="157">
        <v>0</v>
      </c>
      <c r="G16" s="75">
        <v>0.42</v>
      </c>
      <c r="H16" s="75">
        <v>0.33</v>
      </c>
      <c r="I16" s="75">
        <v>0.25</v>
      </c>
      <c r="J16" s="75">
        <v>0</v>
      </c>
      <c r="K16" s="27"/>
      <c r="L16" s="190"/>
      <c r="M16" s="190"/>
      <c r="N16" s="190"/>
      <c r="O16" s="190"/>
      <c r="P16" s="190"/>
      <c r="Q16" s="191"/>
      <c r="R16" s="191"/>
      <c r="S16" s="191"/>
      <c r="T16" s="191"/>
      <c r="U16" s="27"/>
      <c r="V16" s="37"/>
      <c r="W16" s="37"/>
      <c r="X16" s="37"/>
      <c r="Y16" s="37"/>
      <c r="Z16" s="37"/>
      <c r="AA16" s="37"/>
      <c r="AB16" s="37"/>
      <c r="AC16" s="37"/>
      <c r="AD16" s="37"/>
      <c r="AE16" s="196"/>
      <c r="AF16" s="27"/>
      <c r="AG16" s="27"/>
      <c r="AH16" s="27"/>
      <c r="AI16" s="27"/>
    </row>
    <row r="17" spans="1:35" ht="15.75" x14ac:dyDescent="0.25">
      <c r="A17" s="35" t="s">
        <v>270</v>
      </c>
      <c r="B17" s="156">
        <v>995921</v>
      </c>
      <c r="C17" s="157">
        <v>422700</v>
      </c>
      <c r="D17" s="157">
        <v>329000</v>
      </c>
      <c r="E17" s="157">
        <v>171750</v>
      </c>
      <c r="F17" s="157">
        <v>72471</v>
      </c>
      <c r="G17" s="75">
        <v>0.42</v>
      </c>
      <c r="H17" s="75">
        <v>0.33</v>
      </c>
      <c r="I17" s="75">
        <v>0.17</v>
      </c>
      <c r="J17" s="75">
        <v>7.0000000000000007E-2</v>
      </c>
      <c r="K17" s="27"/>
      <c r="L17" s="190"/>
      <c r="M17" s="190"/>
      <c r="N17" s="190"/>
      <c r="O17" s="190"/>
      <c r="P17" s="190"/>
      <c r="Q17" s="191"/>
      <c r="R17" s="191"/>
      <c r="S17" s="191"/>
      <c r="T17" s="191"/>
      <c r="U17" s="27"/>
      <c r="V17" s="37"/>
      <c r="W17" s="37"/>
      <c r="X17" s="37"/>
      <c r="Y17" s="37"/>
      <c r="Z17" s="37"/>
      <c r="AA17" s="37"/>
      <c r="AB17" s="37"/>
      <c r="AC17" s="37"/>
      <c r="AD17" s="37"/>
      <c r="AE17" s="196"/>
      <c r="AF17" s="27"/>
      <c r="AG17" s="27"/>
      <c r="AH17" s="27"/>
      <c r="AI17" s="27"/>
    </row>
    <row r="18" spans="1:35" ht="15.75" x14ac:dyDescent="0.25">
      <c r="A18" s="35" t="s">
        <v>271</v>
      </c>
      <c r="B18" s="156">
        <v>1145684</v>
      </c>
      <c r="C18" s="157">
        <v>486900</v>
      </c>
      <c r="D18" s="157">
        <v>332500</v>
      </c>
      <c r="E18" s="157">
        <v>103750</v>
      </c>
      <c r="F18" s="157">
        <v>222534</v>
      </c>
      <c r="G18" s="75">
        <v>0.42</v>
      </c>
      <c r="H18" s="75">
        <v>0.28999999999999998</v>
      </c>
      <c r="I18" s="75">
        <v>0.09</v>
      </c>
      <c r="J18" s="75">
        <v>0.19</v>
      </c>
      <c r="K18" s="27"/>
      <c r="L18" s="190"/>
      <c r="M18" s="190"/>
      <c r="N18" s="190"/>
      <c r="O18" s="190"/>
      <c r="P18" s="190"/>
      <c r="Q18" s="191"/>
      <c r="R18" s="191"/>
      <c r="S18" s="191"/>
      <c r="T18" s="191"/>
      <c r="U18" s="27"/>
      <c r="V18" s="37"/>
      <c r="W18" s="37"/>
      <c r="X18" s="37"/>
      <c r="Y18" s="37"/>
      <c r="Z18" s="37"/>
      <c r="AA18" s="37"/>
      <c r="AB18" s="37"/>
      <c r="AC18" s="37"/>
      <c r="AD18" s="37"/>
      <c r="AE18" s="196"/>
      <c r="AF18" s="27"/>
      <c r="AG18" s="27"/>
      <c r="AH18" s="27"/>
      <c r="AI18" s="27"/>
    </row>
    <row r="19" spans="1:35" ht="15.75" x14ac:dyDescent="0.25">
      <c r="A19" s="35" t="s">
        <v>272</v>
      </c>
      <c r="B19" s="156">
        <v>1276632</v>
      </c>
      <c r="C19" s="157">
        <v>540000</v>
      </c>
      <c r="D19" s="157">
        <v>367500</v>
      </c>
      <c r="E19" s="157">
        <v>85500</v>
      </c>
      <c r="F19" s="157">
        <v>283632</v>
      </c>
      <c r="G19" s="75">
        <v>0.42</v>
      </c>
      <c r="H19" s="75">
        <v>0.28999999999999998</v>
      </c>
      <c r="I19" s="75">
        <v>7.0000000000000007E-2</v>
      </c>
      <c r="J19" s="75">
        <v>0.22</v>
      </c>
      <c r="K19" s="27"/>
      <c r="L19" s="190"/>
      <c r="M19" s="190"/>
      <c r="N19" s="190"/>
      <c r="O19" s="190"/>
      <c r="P19" s="190"/>
      <c r="Q19" s="191"/>
      <c r="R19" s="191"/>
      <c r="S19" s="191"/>
      <c r="T19" s="191"/>
      <c r="U19" s="27"/>
      <c r="V19" s="37"/>
      <c r="W19" s="37"/>
      <c r="X19" s="37"/>
      <c r="Y19" s="37"/>
      <c r="Z19" s="37"/>
      <c r="AA19" s="37"/>
      <c r="AB19" s="37"/>
      <c r="AC19" s="37"/>
      <c r="AD19" s="37"/>
      <c r="AE19" s="196"/>
      <c r="AF19" s="27"/>
      <c r="AG19" s="27"/>
      <c r="AH19" s="27"/>
      <c r="AI19" s="27"/>
    </row>
    <row r="20" spans="1:35" ht="15.75" x14ac:dyDescent="0.25">
      <c r="A20" s="35" t="s">
        <v>273</v>
      </c>
      <c r="B20" s="156">
        <v>1023155</v>
      </c>
      <c r="C20" s="157">
        <v>361800</v>
      </c>
      <c r="D20" s="157">
        <v>219250</v>
      </c>
      <c r="E20" s="157">
        <v>47250</v>
      </c>
      <c r="F20" s="157">
        <v>394855</v>
      </c>
      <c r="G20" s="75">
        <v>0.35</v>
      </c>
      <c r="H20" s="75">
        <v>0.21</v>
      </c>
      <c r="I20" s="75">
        <v>0.05</v>
      </c>
      <c r="J20" s="75">
        <v>0.39</v>
      </c>
      <c r="K20" s="27"/>
      <c r="L20" s="190"/>
      <c r="M20" s="190"/>
      <c r="N20" s="190"/>
      <c r="O20" s="190"/>
      <c r="P20" s="190"/>
      <c r="Q20" s="191"/>
      <c r="R20" s="191"/>
      <c r="S20" s="191"/>
      <c r="T20" s="191"/>
      <c r="U20" s="27"/>
      <c r="V20" s="37"/>
      <c r="W20" s="37"/>
      <c r="X20" s="37"/>
      <c r="Y20" s="37"/>
      <c r="Z20" s="37"/>
      <c r="AA20" s="37"/>
      <c r="AB20" s="37"/>
      <c r="AC20" s="37"/>
      <c r="AD20" s="37"/>
      <c r="AE20" s="196"/>
      <c r="AF20" s="27"/>
      <c r="AG20" s="27"/>
      <c r="AH20" s="27"/>
      <c r="AI20" s="27"/>
    </row>
    <row r="21" spans="1:35" ht="15.75" x14ac:dyDescent="0.25">
      <c r="A21" s="80" t="s">
        <v>274</v>
      </c>
      <c r="B21" s="156">
        <v>2115895</v>
      </c>
      <c r="C21" s="157">
        <v>599100</v>
      </c>
      <c r="D21" s="157">
        <v>408000</v>
      </c>
      <c r="E21" s="157">
        <v>69500</v>
      </c>
      <c r="F21" s="157">
        <v>1039295</v>
      </c>
      <c r="G21" s="75">
        <v>0.28000000000000003</v>
      </c>
      <c r="H21" s="75">
        <v>0.19</v>
      </c>
      <c r="I21" s="75">
        <v>0.03</v>
      </c>
      <c r="J21" s="75">
        <v>0.49</v>
      </c>
      <c r="K21" s="27"/>
      <c r="L21" s="190"/>
      <c r="M21" s="190"/>
      <c r="N21" s="190"/>
      <c r="O21" s="190"/>
      <c r="P21" s="190"/>
      <c r="Q21" s="191"/>
      <c r="R21" s="191"/>
      <c r="S21" s="191"/>
      <c r="T21" s="191"/>
      <c r="U21" s="27"/>
      <c r="V21" s="37"/>
      <c r="W21" s="37"/>
      <c r="X21" s="37"/>
      <c r="Y21" s="37"/>
      <c r="Z21" s="37"/>
      <c r="AA21" s="37"/>
      <c r="AB21" s="37"/>
      <c r="AC21" s="37"/>
      <c r="AD21" s="37"/>
      <c r="AE21" s="196"/>
      <c r="AF21" s="27"/>
      <c r="AG21" s="27"/>
      <c r="AH21" s="27"/>
      <c r="AI21" s="27"/>
    </row>
    <row r="22" spans="1:35" ht="15.75" x14ac:dyDescent="0.25">
      <c r="A22" s="80" t="s">
        <v>262</v>
      </c>
      <c r="B22" s="156">
        <v>1478432</v>
      </c>
      <c r="C22" s="157">
        <v>493200</v>
      </c>
      <c r="D22" s="157">
        <v>327000</v>
      </c>
      <c r="E22" s="157">
        <v>72250</v>
      </c>
      <c r="F22" s="157">
        <v>585982</v>
      </c>
      <c r="G22" s="75">
        <v>0.33</v>
      </c>
      <c r="H22" s="75">
        <v>0.22</v>
      </c>
      <c r="I22" s="75">
        <v>0.05</v>
      </c>
      <c r="J22" s="75">
        <v>0.4</v>
      </c>
      <c r="K22" s="27"/>
      <c r="L22" s="190"/>
      <c r="M22" s="190"/>
      <c r="N22" s="190"/>
      <c r="O22" s="190"/>
      <c r="P22" s="190"/>
      <c r="Q22" s="191"/>
      <c r="R22" s="191"/>
      <c r="S22" s="191"/>
      <c r="T22" s="191"/>
      <c r="U22" s="27"/>
      <c r="V22" s="37"/>
      <c r="W22" s="37"/>
      <c r="X22" s="37"/>
      <c r="Y22" s="37"/>
      <c r="Z22" s="37"/>
      <c r="AA22" s="37"/>
      <c r="AB22" s="37"/>
      <c r="AC22" s="37"/>
      <c r="AD22" s="37"/>
      <c r="AE22" s="196"/>
      <c r="AF22" s="27"/>
      <c r="AG22" s="27"/>
      <c r="AH22" s="27"/>
      <c r="AI22" s="27"/>
    </row>
    <row r="23" spans="1:35" ht="15.75" x14ac:dyDescent="0.25">
      <c r="A23" s="80" t="s">
        <v>275</v>
      </c>
      <c r="B23" s="156">
        <v>1705304</v>
      </c>
      <c r="C23" s="157">
        <v>481200</v>
      </c>
      <c r="D23" s="157">
        <v>395250</v>
      </c>
      <c r="E23" s="157">
        <v>169250</v>
      </c>
      <c r="F23" s="157">
        <v>659604</v>
      </c>
      <c r="G23" s="75">
        <v>0.28000000000000003</v>
      </c>
      <c r="H23" s="75">
        <v>0.23</v>
      </c>
      <c r="I23" s="75">
        <v>0.1</v>
      </c>
      <c r="J23" s="75">
        <v>0.39</v>
      </c>
      <c r="K23" s="27"/>
      <c r="L23" s="190"/>
      <c r="M23" s="190"/>
      <c r="N23" s="190"/>
      <c r="O23" s="190"/>
      <c r="P23" s="190"/>
      <c r="Q23" s="191"/>
      <c r="R23" s="191"/>
      <c r="S23" s="191"/>
      <c r="T23" s="191"/>
      <c r="U23" s="27"/>
      <c r="V23" s="37"/>
      <c r="W23" s="37"/>
      <c r="X23" s="37"/>
      <c r="Y23" s="37"/>
      <c r="Z23" s="37"/>
      <c r="AA23" s="37"/>
      <c r="AB23" s="37"/>
      <c r="AC23" s="37"/>
      <c r="AD23" s="37"/>
      <c r="AE23" s="196"/>
      <c r="AF23" s="27"/>
      <c r="AG23" s="27"/>
      <c r="AH23" s="27"/>
      <c r="AI23" s="27"/>
    </row>
    <row r="24" spans="1:35" ht="15.75" x14ac:dyDescent="0.25">
      <c r="A24" s="80" t="s">
        <v>276</v>
      </c>
      <c r="B24" s="156">
        <v>1478762</v>
      </c>
      <c r="C24" s="157">
        <v>437700</v>
      </c>
      <c r="D24" s="157">
        <v>319250</v>
      </c>
      <c r="E24" s="157">
        <v>89250</v>
      </c>
      <c r="F24" s="157">
        <v>632562</v>
      </c>
      <c r="G24" s="75">
        <v>0.3</v>
      </c>
      <c r="H24" s="75">
        <v>0.22</v>
      </c>
      <c r="I24" s="75">
        <v>0.06</v>
      </c>
      <c r="J24" s="75">
        <v>0.43</v>
      </c>
      <c r="K24" s="27"/>
      <c r="L24" s="190"/>
      <c r="M24" s="190"/>
      <c r="N24" s="190"/>
      <c r="O24" s="190"/>
      <c r="P24" s="190"/>
      <c r="Q24" s="191"/>
      <c r="R24" s="191"/>
      <c r="S24" s="191"/>
      <c r="T24" s="191"/>
      <c r="U24" s="27"/>
      <c r="V24" s="37"/>
      <c r="W24" s="37"/>
      <c r="X24" s="37"/>
      <c r="Y24" s="37"/>
      <c r="Z24" s="37"/>
      <c r="AA24" s="37"/>
      <c r="AB24" s="37"/>
      <c r="AC24" s="37"/>
      <c r="AD24" s="37"/>
      <c r="AE24" s="196"/>
      <c r="AF24" s="27"/>
      <c r="AG24" s="27"/>
      <c r="AH24" s="27"/>
      <c r="AI24" s="27"/>
    </row>
    <row r="25" spans="1:35" ht="15.75" x14ac:dyDescent="0.25">
      <c r="A25" s="80" t="s">
        <v>277</v>
      </c>
      <c r="B25" s="156">
        <v>1705235</v>
      </c>
      <c r="C25" s="157">
        <v>679500</v>
      </c>
      <c r="D25" s="157">
        <v>302000</v>
      </c>
      <c r="E25" s="157">
        <v>16250</v>
      </c>
      <c r="F25" s="157">
        <v>707485</v>
      </c>
      <c r="G25" s="75">
        <v>0.4</v>
      </c>
      <c r="H25" s="75">
        <v>0.18</v>
      </c>
      <c r="I25" s="75">
        <v>0.01</v>
      </c>
      <c r="J25" s="75">
        <v>0.41</v>
      </c>
      <c r="K25" s="27"/>
      <c r="L25" s="190"/>
      <c r="M25" s="190"/>
      <c r="N25" s="190"/>
      <c r="O25" s="190"/>
      <c r="P25" s="190"/>
      <c r="Q25" s="191"/>
      <c r="R25" s="191"/>
      <c r="S25" s="191"/>
      <c r="T25" s="191"/>
      <c r="U25" s="27"/>
      <c r="V25" s="37"/>
      <c r="W25" s="37"/>
      <c r="X25" s="37"/>
      <c r="Y25" s="37"/>
      <c r="Z25" s="37"/>
      <c r="AA25" s="37"/>
      <c r="AB25" s="37"/>
      <c r="AC25" s="37"/>
      <c r="AD25" s="37"/>
      <c r="AE25" s="196"/>
      <c r="AF25" s="27"/>
      <c r="AG25" s="27"/>
      <c r="AH25" s="27"/>
      <c r="AI25" s="27"/>
    </row>
    <row r="26" spans="1:35" ht="15.75" x14ac:dyDescent="0.25">
      <c r="A26" s="80" t="s">
        <v>278</v>
      </c>
      <c r="B26" s="156">
        <v>2091177</v>
      </c>
      <c r="C26" s="157">
        <v>522900</v>
      </c>
      <c r="D26" s="157">
        <v>233000</v>
      </c>
      <c r="E26" s="157">
        <v>538500</v>
      </c>
      <c r="F26" s="157">
        <v>796777</v>
      </c>
      <c r="G26" s="75">
        <v>0.25</v>
      </c>
      <c r="H26" s="75">
        <v>0.11</v>
      </c>
      <c r="I26" s="75">
        <v>0.26</v>
      </c>
      <c r="J26" s="75">
        <v>0.38</v>
      </c>
      <c r="K26" s="27"/>
      <c r="L26" s="190"/>
      <c r="M26" s="190"/>
      <c r="N26" s="190"/>
      <c r="O26" s="190"/>
      <c r="P26" s="190"/>
      <c r="Q26" s="191"/>
      <c r="R26" s="191"/>
      <c r="S26" s="191"/>
      <c r="T26" s="191"/>
      <c r="U26" s="27"/>
      <c r="V26" s="37"/>
      <c r="W26" s="37"/>
      <c r="X26" s="37"/>
      <c r="Y26" s="37"/>
      <c r="Z26" s="37"/>
      <c r="AA26" s="37"/>
      <c r="AB26" s="37"/>
      <c r="AC26" s="37"/>
      <c r="AD26" s="37"/>
      <c r="AE26" s="196"/>
      <c r="AF26" s="27"/>
      <c r="AG26" s="27"/>
      <c r="AH26" s="27"/>
      <c r="AI26" s="27"/>
    </row>
    <row r="27" spans="1:35" ht="15.75" x14ac:dyDescent="0.25">
      <c r="A27" s="80" t="s">
        <v>279</v>
      </c>
      <c r="B27" s="156">
        <v>3132319</v>
      </c>
      <c r="C27" s="157">
        <v>333600</v>
      </c>
      <c r="D27" s="157">
        <v>279750</v>
      </c>
      <c r="E27" s="157">
        <v>1806750</v>
      </c>
      <c r="F27" s="157">
        <v>712219</v>
      </c>
      <c r="G27" s="75">
        <v>0.11</v>
      </c>
      <c r="H27" s="75">
        <v>0.09</v>
      </c>
      <c r="I27" s="75">
        <v>0.57999999999999996</v>
      </c>
      <c r="J27" s="75">
        <v>0.23</v>
      </c>
      <c r="K27" s="27"/>
      <c r="L27" s="190"/>
      <c r="M27" s="190"/>
      <c r="N27" s="190"/>
      <c r="O27" s="190"/>
      <c r="P27" s="190"/>
      <c r="Q27" s="191"/>
      <c r="R27" s="191"/>
      <c r="S27" s="191"/>
      <c r="T27" s="191"/>
      <c r="U27" s="27"/>
      <c r="V27" s="37"/>
      <c r="W27" s="37"/>
      <c r="X27" s="37"/>
      <c r="Y27" s="37"/>
      <c r="Z27" s="37"/>
      <c r="AA27" s="37"/>
      <c r="AB27" s="37"/>
      <c r="AC27" s="37"/>
      <c r="AD27" s="37"/>
      <c r="AE27" s="196"/>
      <c r="AF27" s="27"/>
      <c r="AG27" s="27"/>
      <c r="AH27" s="27"/>
      <c r="AI27" s="27"/>
    </row>
    <row r="28" spans="1:35" ht="15.75" x14ac:dyDescent="0.25">
      <c r="A28" s="80" t="s">
        <v>280</v>
      </c>
      <c r="B28" s="156">
        <v>3098139</v>
      </c>
      <c r="C28" s="157">
        <v>501300</v>
      </c>
      <c r="D28" s="157">
        <v>521750</v>
      </c>
      <c r="E28" s="157">
        <v>1280500</v>
      </c>
      <c r="F28" s="157">
        <v>794589</v>
      </c>
      <c r="G28" s="75">
        <v>0.16</v>
      </c>
      <c r="H28" s="75">
        <v>0.17</v>
      </c>
      <c r="I28" s="75">
        <v>0.41</v>
      </c>
      <c r="J28" s="75">
        <v>0.26</v>
      </c>
      <c r="K28" s="27"/>
      <c r="L28" s="190"/>
      <c r="M28" s="190"/>
      <c r="N28" s="190"/>
      <c r="O28" s="190"/>
      <c r="P28" s="190"/>
      <c r="Q28" s="191"/>
      <c r="R28" s="191"/>
      <c r="S28" s="191"/>
      <c r="T28" s="191"/>
      <c r="U28" s="27"/>
      <c r="V28" s="37"/>
      <c r="W28" s="37"/>
      <c r="X28" s="37"/>
      <c r="Y28" s="37"/>
      <c r="Z28" s="37"/>
      <c r="AA28" s="37"/>
      <c r="AB28" s="37"/>
      <c r="AC28" s="37"/>
      <c r="AD28" s="37"/>
      <c r="AE28" s="196"/>
      <c r="AF28" s="27"/>
      <c r="AG28" s="27"/>
      <c r="AH28" s="27"/>
      <c r="AI28" s="27"/>
    </row>
    <row r="29" spans="1:35" ht="15.75" x14ac:dyDescent="0.25">
      <c r="A29" s="80" t="s">
        <v>281</v>
      </c>
      <c r="B29" s="156">
        <v>4156700</v>
      </c>
      <c r="C29" s="157">
        <v>1044300</v>
      </c>
      <c r="D29" s="157">
        <v>1158250</v>
      </c>
      <c r="E29" s="157">
        <v>1035750</v>
      </c>
      <c r="F29" s="157">
        <v>918400</v>
      </c>
      <c r="G29" s="75">
        <v>0.25</v>
      </c>
      <c r="H29" s="75">
        <v>0.28000000000000003</v>
      </c>
      <c r="I29" s="75">
        <v>0.25</v>
      </c>
      <c r="J29" s="75">
        <v>0.22</v>
      </c>
      <c r="K29" s="27"/>
      <c r="L29" s="190"/>
      <c r="M29" s="190"/>
      <c r="N29" s="190"/>
      <c r="O29" s="190"/>
      <c r="P29" s="190"/>
      <c r="Q29" s="191"/>
      <c r="R29" s="191"/>
      <c r="S29" s="191"/>
      <c r="T29" s="191"/>
      <c r="U29" s="27"/>
      <c r="V29" s="37"/>
      <c r="W29" s="37"/>
      <c r="X29" s="37"/>
      <c r="Y29" s="37"/>
      <c r="Z29" s="37"/>
      <c r="AA29" s="37"/>
      <c r="AB29" s="37"/>
      <c r="AC29" s="37"/>
      <c r="AD29" s="37"/>
      <c r="AE29" s="196"/>
      <c r="AF29" s="27"/>
      <c r="AG29" s="27"/>
      <c r="AH29" s="27"/>
      <c r="AI29" s="27"/>
    </row>
    <row r="30" spans="1:35" ht="15.75" x14ac:dyDescent="0.25">
      <c r="A30" s="80" t="s">
        <v>282</v>
      </c>
      <c r="B30" s="156">
        <v>2761735</v>
      </c>
      <c r="C30" s="157">
        <v>878700</v>
      </c>
      <c r="D30" s="157">
        <v>485750</v>
      </c>
      <c r="E30" s="157">
        <v>340000</v>
      </c>
      <c r="F30" s="157">
        <v>1057285</v>
      </c>
      <c r="G30" s="75">
        <v>0.32</v>
      </c>
      <c r="H30" s="75">
        <v>0.18</v>
      </c>
      <c r="I30" s="75">
        <v>0.12</v>
      </c>
      <c r="J30" s="75">
        <v>0.38</v>
      </c>
      <c r="K30" s="27"/>
      <c r="L30" s="190"/>
      <c r="M30" s="190"/>
      <c r="N30" s="190"/>
      <c r="O30" s="190"/>
      <c r="P30" s="190"/>
      <c r="Q30" s="191"/>
      <c r="R30" s="191"/>
      <c r="S30" s="191"/>
      <c r="T30" s="191"/>
      <c r="U30" s="27"/>
      <c r="V30" s="37"/>
      <c r="W30" s="37"/>
      <c r="X30" s="37"/>
      <c r="Y30" s="37"/>
      <c r="Z30" s="37"/>
      <c r="AA30" s="37"/>
      <c r="AB30" s="37"/>
      <c r="AC30" s="37"/>
      <c r="AD30" s="37"/>
      <c r="AE30" s="196"/>
      <c r="AF30" s="27"/>
      <c r="AG30" s="27"/>
      <c r="AH30" s="27"/>
      <c r="AI30" s="27"/>
    </row>
    <row r="31" spans="1:35" ht="15.75" x14ac:dyDescent="0.25">
      <c r="A31" s="80" t="s">
        <v>283</v>
      </c>
      <c r="B31" s="156">
        <v>1929781</v>
      </c>
      <c r="C31" s="157">
        <v>573900</v>
      </c>
      <c r="D31" s="157">
        <v>335500</v>
      </c>
      <c r="E31" s="157">
        <v>122500</v>
      </c>
      <c r="F31" s="157">
        <v>897881</v>
      </c>
      <c r="G31" s="75">
        <v>0.3</v>
      </c>
      <c r="H31" s="75">
        <v>0.17</v>
      </c>
      <c r="I31" s="75">
        <v>0.06</v>
      </c>
      <c r="J31" s="75">
        <v>0.47</v>
      </c>
      <c r="K31" s="27"/>
      <c r="L31" s="190"/>
      <c r="M31" s="190"/>
      <c r="N31" s="190"/>
      <c r="O31" s="190"/>
      <c r="P31" s="190"/>
      <c r="Q31" s="191"/>
      <c r="R31" s="191"/>
      <c r="S31" s="191"/>
      <c r="T31" s="191"/>
      <c r="U31" s="27"/>
      <c r="V31" s="37"/>
      <c r="W31" s="37"/>
      <c r="X31" s="37"/>
      <c r="Y31" s="37"/>
      <c r="Z31" s="37"/>
      <c r="AA31" s="37"/>
      <c r="AB31" s="37"/>
      <c r="AC31" s="37"/>
      <c r="AD31" s="37"/>
      <c r="AE31" s="196"/>
      <c r="AF31" s="27"/>
      <c r="AG31" s="27"/>
      <c r="AH31" s="27"/>
      <c r="AI31" s="27"/>
    </row>
    <row r="32" spans="1:35" ht="15.75" x14ac:dyDescent="0.25">
      <c r="A32" s="80" t="s">
        <v>284</v>
      </c>
      <c r="B32" s="156">
        <v>2862957</v>
      </c>
      <c r="C32" s="157">
        <v>480600</v>
      </c>
      <c r="D32" s="157">
        <v>415500</v>
      </c>
      <c r="E32" s="157">
        <v>126250</v>
      </c>
      <c r="F32" s="157">
        <v>1840607</v>
      </c>
      <c r="G32" s="75">
        <v>0.17</v>
      </c>
      <c r="H32" s="75">
        <v>0.15</v>
      </c>
      <c r="I32" s="75">
        <v>0.04</v>
      </c>
      <c r="J32" s="75">
        <v>0.64</v>
      </c>
      <c r="K32" s="27"/>
      <c r="L32" s="190"/>
      <c r="M32" s="190"/>
      <c r="N32" s="190"/>
      <c r="O32" s="190"/>
      <c r="P32" s="190"/>
      <c r="Q32" s="191"/>
      <c r="R32" s="191"/>
      <c r="S32" s="191"/>
      <c r="T32" s="191"/>
      <c r="U32" s="27"/>
      <c r="V32" s="37"/>
      <c r="W32" s="37"/>
      <c r="X32" s="37"/>
      <c r="Y32" s="37"/>
      <c r="Z32" s="37"/>
      <c r="AA32" s="37"/>
      <c r="AB32" s="37"/>
      <c r="AC32" s="37"/>
      <c r="AD32" s="37"/>
      <c r="AE32" s="196"/>
      <c r="AF32" s="27"/>
      <c r="AG32" s="27"/>
      <c r="AH32" s="27"/>
      <c r="AI32" s="27"/>
    </row>
    <row r="33" spans="1:35" ht="15.75" x14ac:dyDescent="0.25">
      <c r="A33" s="80" t="s">
        <v>285</v>
      </c>
      <c r="B33" s="156">
        <v>1725653</v>
      </c>
      <c r="C33" s="157">
        <v>385200</v>
      </c>
      <c r="D33" s="157">
        <v>285750</v>
      </c>
      <c r="E33" s="157">
        <v>94500</v>
      </c>
      <c r="F33" s="157">
        <v>960203</v>
      </c>
      <c r="G33" s="75">
        <v>0.22</v>
      </c>
      <c r="H33" s="75">
        <v>0.17</v>
      </c>
      <c r="I33" s="75">
        <v>0.05</v>
      </c>
      <c r="J33" s="75">
        <v>0.56000000000000005</v>
      </c>
      <c r="K33" s="27"/>
      <c r="L33" s="190"/>
      <c r="M33" s="190"/>
      <c r="N33" s="190"/>
      <c r="O33" s="190"/>
      <c r="P33" s="190"/>
      <c r="Q33" s="191"/>
      <c r="R33" s="191"/>
      <c r="S33" s="191"/>
      <c r="T33" s="191"/>
      <c r="U33" s="27"/>
      <c r="V33" s="37"/>
      <c r="W33" s="37"/>
      <c r="X33" s="37"/>
      <c r="Y33" s="37"/>
      <c r="Z33" s="37"/>
      <c r="AA33" s="37"/>
      <c r="AB33" s="37"/>
      <c r="AC33" s="37"/>
      <c r="AD33" s="37"/>
      <c r="AE33" s="196"/>
      <c r="AF33" s="27"/>
      <c r="AG33" s="27"/>
      <c r="AH33" s="27"/>
      <c r="AI33" s="27"/>
    </row>
    <row r="34" spans="1:35" ht="15.75" x14ac:dyDescent="0.25">
      <c r="A34" s="80" t="s">
        <v>263</v>
      </c>
      <c r="B34" s="156">
        <v>2339443</v>
      </c>
      <c r="C34" s="157">
        <v>598800</v>
      </c>
      <c r="D34" s="157">
        <v>584250</v>
      </c>
      <c r="E34" s="157">
        <v>139500</v>
      </c>
      <c r="F34" s="157">
        <v>1016893</v>
      </c>
      <c r="G34" s="75">
        <v>0.26</v>
      </c>
      <c r="H34" s="75">
        <v>0.25</v>
      </c>
      <c r="I34" s="75">
        <v>0.06</v>
      </c>
      <c r="J34" s="75">
        <v>0.43</v>
      </c>
      <c r="K34" s="27"/>
      <c r="L34" s="190"/>
      <c r="M34" s="190"/>
      <c r="N34" s="190"/>
      <c r="O34" s="190"/>
      <c r="P34" s="190"/>
      <c r="Q34" s="191"/>
      <c r="R34" s="191"/>
      <c r="S34" s="191"/>
      <c r="T34" s="191"/>
      <c r="U34" s="27"/>
      <c r="V34" s="37"/>
      <c r="W34" s="37"/>
      <c r="X34" s="37"/>
      <c r="Y34" s="37"/>
      <c r="Z34" s="37"/>
      <c r="AA34" s="37"/>
      <c r="AB34" s="37"/>
      <c r="AC34" s="37"/>
      <c r="AD34" s="37"/>
      <c r="AE34" s="196"/>
      <c r="AF34" s="27"/>
      <c r="AG34" s="27"/>
      <c r="AH34" s="27"/>
      <c r="AI34" s="27"/>
    </row>
    <row r="35" spans="1:35" ht="15.75" x14ac:dyDescent="0.25">
      <c r="A35" s="80" t="s">
        <v>286</v>
      </c>
      <c r="B35" s="156">
        <v>2176275</v>
      </c>
      <c r="C35" s="157">
        <v>506100</v>
      </c>
      <c r="D35" s="157">
        <v>455000</v>
      </c>
      <c r="E35" s="157">
        <v>153750</v>
      </c>
      <c r="F35" s="157">
        <v>1061425</v>
      </c>
      <c r="G35" s="75">
        <v>0.23</v>
      </c>
      <c r="H35" s="75">
        <v>0.21</v>
      </c>
      <c r="I35" s="75">
        <v>7.0000000000000007E-2</v>
      </c>
      <c r="J35" s="75">
        <v>0.49</v>
      </c>
      <c r="K35" s="27"/>
      <c r="L35" s="190"/>
      <c r="M35" s="190"/>
      <c r="N35" s="190"/>
      <c r="O35" s="190"/>
      <c r="P35" s="190"/>
      <c r="Q35" s="191"/>
      <c r="R35" s="191"/>
      <c r="S35" s="191"/>
      <c r="T35" s="191"/>
      <c r="U35" s="27"/>
      <c r="V35" s="37"/>
      <c r="W35" s="37"/>
      <c r="X35" s="37"/>
      <c r="Y35" s="37"/>
      <c r="Z35" s="37"/>
      <c r="AA35" s="37"/>
      <c r="AB35" s="37"/>
      <c r="AC35" s="37"/>
      <c r="AD35" s="37"/>
      <c r="AE35" s="196"/>
      <c r="AF35" s="27"/>
      <c r="AG35" s="27"/>
      <c r="AH35" s="27"/>
      <c r="AI35" s="27"/>
    </row>
    <row r="36" spans="1:35" s="22" customFormat="1" ht="15.75" x14ac:dyDescent="0.25">
      <c r="A36" s="145" t="s">
        <v>287</v>
      </c>
      <c r="B36" s="205">
        <v>2272087</v>
      </c>
      <c r="C36" s="206">
        <v>646404</v>
      </c>
      <c r="D36" s="206">
        <v>543375</v>
      </c>
      <c r="E36" s="206">
        <v>122250</v>
      </c>
      <c r="F36" s="206">
        <v>960058</v>
      </c>
      <c r="G36" s="75">
        <v>0.28000000000000003</v>
      </c>
      <c r="H36" s="75">
        <v>0.24</v>
      </c>
      <c r="I36" s="75">
        <v>0.05</v>
      </c>
      <c r="J36" s="75">
        <v>0.42</v>
      </c>
      <c r="K36" s="37"/>
      <c r="L36" s="190"/>
      <c r="M36" s="190"/>
      <c r="N36" s="190"/>
      <c r="O36" s="190"/>
      <c r="P36" s="190"/>
      <c r="Q36" s="191"/>
      <c r="R36" s="191"/>
      <c r="S36" s="191"/>
      <c r="T36" s="191"/>
      <c r="U36" s="37"/>
      <c r="V36" s="37"/>
      <c r="W36" s="37"/>
      <c r="X36" s="37"/>
      <c r="Y36" s="37"/>
      <c r="Z36" s="37"/>
      <c r="AA36" s="37"/>
      <c r="AB36" s="37"/>
      <c r="AC36" s="37"/>
      <c r="AD36" s="37"/>
      <c r="AE36" s="196"/>
      <c r="AF36" s="37"/>
      <c r="AG36" s="37"/>
      <c r="AH36" s="37"/>
      <c r="AI36" s="37"/>
    </row>
    <row r="37" spans="1:35" s="22" customFormat="1" ht="15.75" x14ac:dyDescent="0.25">
      <c r="A37" s="80" t="s">
        <v>288</v>
      </c>
      <c r="B37" s="156">
        <v>2481880</v>
      </c>
      <c r="C37" s="157">
        <v>834060</v>
      </c>
      <c r="D37" s="157">
        <v>513293</v>
      </c>
      <c r="E37" s="157">
        <v>28750</v>
      </c>
      <c r="F37" s="157">
        <v>1105778</v>
      </c>
      <c r="G37" s="75">
        <v>0.34</v>
      </c>
      <c r="H37" s="75">
        <v>0.21</v>
      </c>
      <c r="I37" s="75">
        <v>0.01</v>
      </c>
      <c r="J37" s="75">
        <v>0.45</v>
      </c>
      <c r="K37" s="37"/>
      <c r="L37" s="190"/>
      <c r="M37" s="190"/>
      <c r="N37" s="190"/>
      <c r="O37" s="190"/>
      <c r="P37" s="190"/>
      <c r="Q37" s="191"/>
      <c r="R37" s="191"/>
      <c r="S37" s="191"/>
      <c r="T37" s="191"/>
      <c r="U37" s="37"/>
      <c r="V37" s="37"/>
      <c r="W37" s="37"/>
      <c r="X37" s="37"/>
      <c r="Y37" s="37"/>
      <c r="Z37" s="37"/>
      <c r="AA37" s="37"/>
      <c r="AB37" s="37"/>
      <c r="AC37" s="37"/>
      <c r="AD37" s="37"/>
      <c r="AE37" s="196"/>
      <c r="AF37" s="37"/>
      <c r="AG37" s="37"/>
      <c r="AH37" s="37"/>
      <c r="AI37" s="37"/>
    </row>
    <row r="38" spans="1:35" s="22" customFormat="1" ht="15.75" x14ac:dyDescent="0.25">
      <c r="A38" s="80" t="s">
        <v>683</v>
      </c>
      <c r="B38" s="156">
        <v>3665139</v>
      </c>
      <c r="C38" s="157">
        <v>556302</v>
      </c>
      <c r="D38" s="157">
        <v>339358</v>
      </c>
      <c r="E38" s="157">
        <v>1704655</v>
      </c>
      <c r="F38" s="157">
        <v>1064825</v>
      </c>
      <c r="G38" s="75">
        <v>0.15</v>
      </c>
      <c r="H38" s="75">
        <v>0.09</v>
      </c>
      <c r="I38" s="75">
        <v>0.47</v>
      </c>
      <c r="J38" s="75">
        <v>0.28999999999999998</v>
      </c>
      <c r="K38" s="37"/>
      <c r="L38" s="190"/>
      <c r="M38" s="190"/>
      <c r="N38" s="190"/>
      <c r="O38" s="190"/>
      <c r="P38" s="190"/>
      <c r="Q38" s="191"/>
      <c r="R38" s="191"/>
      <c r="S38" s="191"/>
      <c r="T38" s="191"/>
      <c r="U38" s="37"/>
      <c r="V38" s="37"/>
      <c r="W38" s="37"/>
      <c r="X38" s="37"/>
      <c r="Y38" s="37"/>
      <c r="Z38" s="37"/>
      <c r="AA38" s="37"/>
      <c r="AB38" s="37"/>
      <c r="AC38" s="37"/>
      <c r="AD38" s="37"/>
      <c r="AE38" s="196"/>
      <c r="AF38" s="37"/>
      <c r="AG38" s="37"/>
      <c r="AH38" s="37"/>
      <c r="AI38" s="37"/>
    </row>
    <row r="39" spans="1:35" s="22" customFormat="1" ht="15.75" x14ac:dyDescent="0.25">
      <c r="A39" s="80" t="s">
        <v>684</v>
      </c>
      <c r="B39" s="156">
        <v>3100664</v>
      </c>
      <c r="C39" s="157">
        <v>428994</v>
      </c>
      <c r="D39" s="157">
        <v>528098</v>
      </c>
      <c r="E39" s="157">
        <v>1050955</v>
      </c>
      <c r="F39" s="157">
        <v>1092618</v>
      </c>
      <c r="G39" s="75">
        <v>0.14000000000000001</v>
      </c>
      <c r="H39" s="75">
        <v>0.17</v>
      </c>
      <c r="I39" s="75">
        <v>0.34</v>
      </c>
      <c r="J39" s="75">
        <v>0.35</v>
      </c>
      <c r="K39" s="37"/>
      <c r="L39" s="190"/>
      <c r="M39" s="190"/>
      <c r="N39" s="190"/>
      <c r="O39" s="190"/>
      <c r="P39" s="190"/>
      <c r="Q39" s="191"/>
      <c r="R39" s="191"/>
      <c r="S39" s="191"/>
      <c r="T39" s="191"/>
      <c r="U39" s="37"/>
      <c r="V39" s="37"/>
      <c r="W39" s="37"/>
      <c r="X39" s="37"/>
      <c r="Y39" s="37"/>
      <c r="Z39" s="37"/>
      <c r="AA39" s="37"/>
      <c r="AB39" s="37"/>
      <c r="AC39" s="37"/>
      <c r="AD39" s="37"/>
      <c r="AE39" s="196"/>
      <c r="AF39" s="37"/>
      <c r="AG39" s="37"/>
      <c r="AH39" s="37"/>
      <c r="AI39" s="37"/>
    </row>
    <row r="40" spans="1:35" ht="15.75" x14ac:dyDescent="0.25">
      <c r="A40" s="80" t="s">
        <v>685</v>
      </c>
      <c r="B40" s="156">
        <v>2960899</v>
      </c>
      <c r="C40" s="157">
        <v>773154</v>
      </c>
      <c r="D40" s="157">
        <v>419148</v>
      </c>
      <c r="E40" s="157">
        <v>736190</v>
      </c>
      <c r="F40" s="157">
        <v>1032407</v>
      </c>
      <c r="G40" s="75">
        <v>0.26</v>
      </c>
      <c r="H40" s="75">
        <v>0.14000000000000001</v>
      </c>
      <c r="I40" s="75">
        <v>0.25</v>
      </c>
      <c r="J40" s="75">
        <v>0.35</v>
      </c>
      <c r="K40" s="27"/>
      <c r="L40" s="190"/>
      <c r="M40" s="190"/>
      <c r="N40" s="190"/>
      <c r="O40" s="190"/>
      <c r="P40" s="190"/>
      <c r="Q40" s="191"/>
      <c r="R40" s="191"/>
      <c r="S40" s="191"/>
      <c r="T40" s="191"/>
      <c r="U40" s="27"/>
      <c r="V40" s="37"/>
      <c r="W40" s="37"/>
      <c r="X40" s="37"/>
      <c r="Y40" s="37"/>
      <c r="Z40" s="37"/>
      <c r="AA40" s="37"/>
      <c r="AB40" s="37"/>
      <c r="AC40" s="37"/>
      <c r="AD40" s="37"/>
      <c r="AE40" s="196"/>
      <c r="AF40" s="27"/>
      <c r="AG40" s="27"/>
      <c r="AH40" s="27"/>
      <c r="AI40" s="27"/>
    </row>
    <row r="41" spans="1:35" s="22" customFormat="1" ht="15.75" x14ac:dyDescent="0.25">
      <c r="A41" s="80" t="s">
        <v>742</v>
      </c>
      <c r="B41" s="156">
        <v>2462982</v>
      </c>
      <c r="C41" s="157">
        <v>477576</v>
      </c>
      <c r="D41" s="157">
        <v>265978</v>
      </c>
      <c r="E41" s="157">
        <v>309755</v>
      </c>
      <c r="F41" s="157">
        <v>1409673</v>
      </c>
      <c r="G41" s="75">
        <v>0.19</v>
      </c>
      <c r="H41" s="75">
        <v>0.11</v>
      </c>
      <c r="I41" s="75">
        <v>0.13</v>
      </c>
      <c r="J41" s="75">
        <v>0.56999999999999995</v>
      </c>
      <c r="K41" s="113"/>
      <c r="L41" s="190"/>
      <c r="M41" s="190"/>
      <c r="N41" s="190"/>
      <c r="O41" s="190"/>
      <c r="P41" s="190"/>
      <c r="Q41" s="191"/>
      <c r="R41" s="191"/>
      <c r="S41" s="191"/>
      <c r="T41" s="191"/>
      <c r="V41" s="37"/>
      <c r="W41" s="37"/>
      <c r="X41" s="37"/>
      <c r="Y41" s="37"/>
      <c r="Z41" s="37"/>
      <c r="AA41" s="37"/>
      <c r="AB41" s="37"/>
      <c r="AC41" s="37"/>
      <c r="AD41" s="37"/>
    </row>
    <row r="42" spans="1:35" s="22" customFormat="1" ht="15.75" x14ac:dyDescent="0.25">
      <c r="A42" s="80" t="s">
        <v>743</v>
      </c>
      <c r="B42" s="156">
        <v>1723858</v>
      </c>
      <c r="C42" s="157">
        <v>388371</v>
      </c>
      <c r="D42" s="157">
        <v>178740</v>
      </c>
      <c r="E42" s="157">
        <v>123973</v>
      </c>
      <c r="F42" s="157">
        <v>1032774</v>
      </c>
      <c r="G42" s="75">
        <v>0.23</v>
      </c>
      <c r="H42" s="75">
        <v>0.1</v>
      </c>
      <c r="I42" s="75">
        <v>7.0000000000000007E-2</v>
      </c>
      <c r="J42" s="75">
        <v>0.6</v>
      </c>
      <c r="K42" s="113"/>
      <c r="L42" s="190"/>
      <c r="M42" s="190"/>
      <c r="N42" s="190"/>
      <c r="O42" s="190"/>
      <c r="P42" s="190"/>
      <c r="Q42" s="191"/>
      <c r="R42" s="191"/>
      <c r="S42" s="191"/>
      <c r="T42" s="191"/>
      <c r="V42" s="37"/>
      <c r="W42" s="37"/>
      <c r="X42" s="37"/>
      <c r="Y42" s="37"/>
      <c r="Z42" s="37"/>
      <c r="AA42" s="37"/>
      <c r="AB42" s="37"/>
      <c r="AC42" s="37"/>
      <c r="AD42" s="37"/>
    </row>
    <row r="43" spans="1:35" s="22" customFormat="1" ht="16.5" thickBot="1" x14ac:dyDescent="0.3">
      <c r="A43" s="104" t="s">
        <v>744</v>
      </c>
      <c r="B43" s="218">
        <v>1929123</v>
      </c>
      <c r="C43" s="219">
        <v>524745</v>
      </c>
      <c r="D43" s="219">
        <v>262563</v>
      </c>
      <c r="E43" s="219">
        <v>130780</v>
      </c>
      <c r="F43" s="219">
        <v>1011035</v>
      </c>
      <c r="G43" s="105">
        <v>0.27</v>
      </c>
      <c r="H43" s="105">
        <v>0.14000000000000001</v>
      </c>
      <c r="I43" s="105">
        <v>7.0000000000000007E-2</v>
      </c>
      <c r="J43" s="105">
        <v>0.52</v>
      </c>
      <c r="K43" s="113"/>
      <c r="L43" s="190"/>
      <c r="M43" s="190"/>
      <c r="N43" s="190"/>
      <c r="O43" s="190"/>
      <c r="P43" s="190"/>
      <c r="Q43" s="191"/>
      <c r="R43" s="191"/>
      <c r="S43" s="191"/>
      <c r="T43" s="191"/>
      <c r="V43" s="37"/>
      <c r="W43" s="37"/>
      <c r="X43" s="37"/>
      <c r="Y43" s="37"/>
      <c r="Z43" s="37"/>
      <c r="AA43" s="37"/>
      <c r="AB43" s="37"/>
      <c r="AC43" s="37"/>
      <c r="AD43" s="37"/>
    </row>
    <row r="44" spans="1:35" ht="15.75" x14ac:dyDescent="0.25">
      <c r="A44" s="86" t="s">
        <v>296</v>
      </c>
      <c r="B44" s="217">
        <v>4072200</v>
      </c>
      <c r="C44" s="160">
        <v>4072200</v>
      </c>
      <c r="D44" s="160" t="s">
        <v>566</v>
      </c>
      <c r="E44" s="160" t="s">
        <v>566</v>
      </c>
      <c r="F44" s="160" t="s">
        <v>566</v>
      </c>
      <c r="G44" s="75">
        <v>1</v>
      </c>
      <c r="H44" s="75" t="s">
        <v>566</v>
      </c>
      <c r="I44" s="75" t="s">
        <v>566</v>
      </c>
      <c r="J44" s="75" t="s">
        <v>566</v>
      </c>
      <c r="K44" s="27"/>
      <c r="L44" s="190"/>
      <c r="M44" s="190"/>
      <c r="N44" s="190"/>
      <c r="O44" s="190"/>
      <c r="P44" s="190"/>
      <c r="Q44" s="191"/>
      <c r="R44" s="191"/>
      <c r="S44" s="191"/>
      <c r="T44" s="191"/>
      <c r="U44" s="27"/>
      <c r="V44" s="37"/>
      <c r="W44" s="37"/>
      <c r="X44" s="37"/>
      <c r="Y44" s="37"/>
      <c r="Z44" s="37"/>
      <c r="AA44" s="37"/>
      <c r="AB44" s="37"/>
      <c r="AC44" s="37"/>
      <c r="AD44" s="37"/>
      <c r="AE44" s="196"/>
      <c r="AF44" s="27"/>
      <c r="AG44" s="27"/>
      <c r="AH44" s="27"/>
      <c r="AI44" s="27"/>
    </row>
    <row r="45" spans="1:35" s="13" customFormat="1" ht="16.5" customHeight="1" x14ac:dyDescent="0.25">
      <c r="A45" s="86" t="s">
        <v>297</v>
      </c>
      <c r="B45" s="217">
        <v>22485723</v>
      </c>
      <c r="C45" s="160">
        <v>6638100</v>
      </c>
      <c r="D45" s="160">
        <v>8046750</v>
      </c>
      <c r="E45" s="160">
        <v>4542500</v>
      </c>
      <c r="F45" s="160">
        <v>3258373</v>
      </c>
      <c r="G45" s="75">
        <v>0.3</v>
      </c>
      <c r="H45" s="75">
        <v>0.36</v>
      </c>
      <c r="I45" s="75">
        <v>0.2</v>
      </c>
      <c r="J45" s="75">
        <v>0.14000000000000001</v>
      </c>
      <c r="K45" s="27"/>
      <c r="L45" s="190"/>
      <c r="M45" s="190"/>
      <c r="N45" s="190"/>
      <c r="O45" s="190"/>
      <c r="P45" s="190"/>
      <c r="Q45" s="191"/>
      <c r="R45" s="191"/>
      <c r="S45" s="191"/>
      <c r="T45" s="191"/>
      <c r="U45" s="27"/>
      <c r="V45" s="37"/>
      <c r="W45" s="37"/>
      <c r="X45" s="37"/>
      <c r="Y45" s="37"/>
      <c r="Z45" s="37"/>
      <c r="AA45" s="37"/>
      <c r="AB45" s="37"/>
      <c r="AC45" s="37"/>
      <c r="AD45" s="37"/>
      <c r="AE45" s="196"/>
      <c r="AF45" s="27"/>
      <c r="AG45" s="27"/>
      <c r="AH45" s="27"/>
      <c r="AI45" s="27"/>
    </row>
    <row r="46" spans="1:35" s="13" customFormat="1" ht="17.25" customHeight="1" x14ac:dyDescent="0.25">
      <c r="A46" s="86" t="s">
        <v>298</v>
      </c>
      <c r="B46" s="217">
        <v>29458174</v>
      </c>
      <c r="C46" s="160">
        <v>6942600</v>
      </c>
      <c r="D46" s="160">
        <v>5375750</v>
      </c>
      <c r="E46" s="160">
        <v>5743500</v>
      </c>
      <c r="F46" s="160">
        <v>11396324</v>
      </c>
      <c r="G46" s="75">
        <v>0.24</v>
      </c>
      <c r="H46" s="75">
        <v>0.18</v>
      </c>
      <c r="I46" s="75">
        <v>0.19</v>
      </c>
      <c r="J46" s="75">
        <v>0.39</v>
      </c>
      <c r="K46" s="27"/>
      <c r="L46" s="190"/>
      <c r="M46" s="190"/>
      <c r="N46" s="190"/>
      <c r="O46" s="190"/>
      <c r="P46" s="190"/>
      <c r="Q46" s="191"/>
      <c r="R46" s="191"/>
      <c r="S46" s="191"/>
      <c r="T46" s="191"/>
      <c r="U46" s="27"/>
      <c r="V46" s="37"/>
      <c r="W46" s="37"/>
      <c r="X46" s="37"/>
      <c r="Y46" s="37"/>
      <c r="Z46" s="37"/>
      <c r="AA46" s="37"/>
      <c r="AB46" s="37"/>
      <c r="AC46" s="37"/>
      <c r="AD46" s="37"/>
      <c r="AE46" s="196"/>
      <c r="AF46" s="27"/>
      <c r="AG46" s="27"/>
      <c r="AH46" s="27"/>
      <c r="AI46" s="27"/>
    </row>
    <row r="47" spans="1:35" ht="15.75" x14ac:dyDescent="0.25">
      <c r="A47" s="86" t="s">
        <v>299</v>
      </c>
      <c r="B47" s="217">
        <v>20596631</v>
      </c>
      <c r="C47" s="160">
        <v>4629606</v>
      </c>
      <c r="D47" s="160">
        <v>3050550</v>
      </c>
      <c r="E47" s="160">
        <v>4207308</v>
      </c>
      <c r="F47" s="160">
        <v>8709168</v>
      </c>
      <c r="G47" s="75">
        <v>0.22</v>
      </c>
      <c r="H47" s="75">
        <v>0.15</v>
      </c>
      <c r="I47" s="75">
        <v>0.2</v>
      </c>
      <c r="J47" s="75">
        <v>0.42</v>
      </c>
      <c r="K47" s="79"/>
      <c r="L47" s="190"/>
      <c r="M47" s="190"/>
      <c r="N47" s="190"/>
      <c r="O47" s="190"/>
      <c r="P47" s="190"/>
      <c r="Q47" s="191"/>
      <c r="R47" s="191"/>
      <c r="S47" s="191"/>
      <c r="T47" s="191"/>
      <c r="U47" s="27"/>
      <c r="V47" s="37"/>
      <c r="W47" s="37"/>
      <c r="X47" s="37"/>
      <c r="Y47" s="37"/>
      <c r="Z47" s="37"/>
      <c r="AA47" s="37"/>
      <c r="AB47" s="37"/>
      <c r="AC47" s="37"/>
      <c r="AD47" s="37"/>
      <c r="AE47" s="27"/>
      <c r="AF47" s="27"/>
      <c r="AG47" s="27"/>
      <c r="AH47" s="27"/>
      <c r="AI47" s="27"/>
    </row>
    <row r="48" spans="1:35" ht="15.75" x14ac:dyDescent="0.25">
      <c r="A48" s="148" t="s">
        <v>654</v>
      </c>
      <c r="B48" s="22"/>
      <c r="C48" s="22"/>
      <c r="D48" s="22"/>
      <c r="E48" s="22"/>
      <c r="F48" s="22"/>
      <c r="G48" s="22"/>
      <c r="H48" s="22"/>
      <c r="I48" s="22"/>
      <c r="J48" s="22"/>
      <c r="K48" s="22"/>
      <c r="L48" s="190"/>
      <c r="M48" s="190"/>
      <c r="N48" s="27"/>
      <c r="O48" s="27"/>
      <c r="P48" s="27"/>
      <c r="Q48" s="27"/>
      <c r="R48" s="27"/>
      <c r="S48" s="27"/>
      <c r="T48" s="27"/>
      <c r="U48" s="27"/>
      <c r="V48" s="27"/>
      <c r="W48" s="27"/>
      <c r="X48" s="27"/>
      <c r="Y48" s="27"/>
      <c r="Z48" s="27"/>
      <c r="AA48" s="27"/>
      <c r="AB48" s="27"/>
      <c r="AC48" s="27"/>
      <c r="AD48" s="27"/>
      <c r="AE48" s="27"/>
      <c r="AF48" s="27"/>
      <c r="AG48" s="27"/>
      <c r="AH48" s="27"/>
      <c r="AI48" s="27"/>
    </row>
    <row r="49" spans="1:35" ht="15.75" x14ac:dyDescent="0.25">
      <c r="A49" s="148" t="s">
        <v>655</v>
      </c>
      <c r="B49" s="22"/>
      <c r="C49" s="22"/>
      <c r="D49" s="22"/>
      <c r="E49" s="22"/>
      <c r="F49" s="22"/>
      <c r="G49" s="22"/>
      <c r="H49" s="22"/>
      <c r="I49" s="22"/>
      <c r="J49" s="22"/>
      <c r="K49" s="22"/>
      <c r="L49" s="190"/>
      <c r="M49" s="190"/>
      <c r="N49" s="27"/>
      <c r="O49" s="27"/>
      <c r="P49" s="27"/>
      <c r="Q49" s="27"/>
      <c r="R49" s="27"/>
      <c r="S49" s="27"/>
      <c r="T49" s="27"/>
      <c r="U49" s="27"/>
      <c r="V49" s="27"/>
      <c r="W49" s="27"/>
      <c r="X49" s="27"/>
      <c r="Y49" s="27"/>
      <c r="Z49" s="27"/>
      <c r="AA49" s="27"/>
      <c r="AB49" s="27"/>
      <c r="AC49" s="27"/>
      <c r="AD49" s="27"/>
      <c r="AE49" s="27"/>
      <c r="AF49" s="27"/>
      <c r="AG49" s="27"/>
      <c r="AH49" s="27"/>
      <c r="AI49" s="27"/>
    </row>
    <row r="50" spans="1:35" ht="15.75" x14ac:dyDescent="0.25">
      <c r="A50" s="148" t="s">
        <v>656</v>
      </c>
      <c r="B50" s="22"/>
      <c r="C50" s="22"/>
      <c r="D50" s="22"/>
      <c r="E50" s="22"/>
      <c r="F50" s="22"/>
      <c r="G50" s="22"/>
      <c r="H50" s="22"/>
      <c r="I50" s="22"/>
      <c r="J50" s="22"/>
      <c r="K50" s="22"/>
      <c r="L50" s="190"/>
      <c r="M50" s="190"/>
      <c r="N50" s="27"/>
      <c r="O50" s="27"/>
      <c r="P50" s="27"/>
      <c r="Q50" s="27"/>
      <c r="R50" s="27"/>
      <c r="S50" s="27"/>
      <c r="T50" s="27"/>
      <c r="U50" s="27"/>
      <c r="V50" s="27"/>
      <c r="W50" s="27"/>
      <c r="X50" s="27"/>
      <c r="Y50" s="27"/>
      <c r="Z50" s="27"/>
      <c r="AA50" s="27"/>
      <c r="AB50" s="27"/>
      <c r="AC50" s="27"/>
      <c r="AD50" s="27"/>
      <c r="AE50" s="27"/>
      <c r="AF50" s="27"/>
      <c r="AG50" s="27"/>
      <c r="AH50" s="27"/>
      <c r="AI50" s="27"/>
    </row>
    <row r="51" spans="1:35" ht="15.75" x14ac:dyDescent="0.25">
      <c r="A51" s="148" t="s">
        <v>657</v>
      </c>
      <c r="B51" s="22"/>
      <c r="C51" s="22"/>
      <c r="D51" s="22"/>
      <c r="E51" s="22"/>
      <c r="F51" s="22"/>
      <c r="G51" s="22"/>
      <c r="H51" s="22"/>
      <c r="I51" s="22"/>
      <c r="J51" s="22"/>
      <c r="K51" s="22"/>
      <c r="L51" s="190"/>
      <c r="M51" s="190"/>
      <c r="N51" s="27"/>
      <c r="O51" s="27"/>
      <c r="P51" s="27"/>
      <c r="Q51" s="27"/>
      <c r="R51" s="27"/>
      <c r="S51" s="27"/>
      <c r="T51" s="27"/>
      <c r="U51" s="27"/>
      <c r="V51" s="27"/>
      <c r="W51" s="27"/>
      <c r="X51" s="27"/>
      <c r="Y51" s="27"/>
      <c r="Z51" s="27"/>
      <c r="AA51" s="27"/>
      <c r="AB51" s="27"/>
      <c r="AC51" s="27"/>
      <c r="AD51" s="27"/>
      <c r="AE51" s="27"/>
      <c r="AF51" s="27"/>
      <c r="AG51" s="27"/>
      <c r="AH51" s="27"/>
      <c r="AI51" s="27"/>
    </row>
    <row r="52" spans="1:35" ht="15.75" x14ac:dyDescent="0.25">
      <c r="A52" s="200" t="s">
        <v>799</v>
      </c>
      <c r="B52" s="22"/>
      <c r="C52" s="22"/>
      <c r="D52" s="22"/>
      <c r="E52" s="22"/>
      <c r="F52" s="22"/>
      <c r="G52" s="22"/>
      <c r="H52" s="22"/>
      <c r="I52" s="22"/>
      <c r="J52" s="22"/>
      <c r="K52" s="22"/>
      <c r="L52" s="190"/>
      <c r="M52" s="190"/>
      <c r="N52" s="79"/>
      <c r="O52" s="27"/>
      <c r="P52" s="27"/>
      <c r="Q52" s="27"/>
      <c r="R52" s="27"/>
      <c r="S52" s="27"/>
      <c r="T52" s="27"/>
      <c r="U52" s="27"/>
      <c r="V52" s="27"/>
      <c r="W52" s="27"/>
      <c r="X52" s="27"/>
      <c r="Y52" s="27"/>
      <c r="Z52" s="27"/>
      <c r="AA52" s="27"/>
      <c r="AB52" s="27"/>
      <c r="AC52" s="27"/>
      <c r="AD52" s="27"/>
      <c r="AE52" s="27"/>
      <c r="AF52" s="27"/>
      <c r="AG52" s="27"/>
      <c r="AH52" s="27"/>
      <c r="AI52" s="27"/>
    </row>
    <row r="53" spans="1:35" ht="15.75" x14ac:dyDescent="0.25">
      <c r="A53" s="148" t="s">
        <v>659</v>
      </c>
      <c r="B53" s="22"/>
      <c r="C53" s="22"/>
      <c r="D53" s="22"/>
      <c r="E53" s="22"/>
      <c r="F53" s="22"/>
      <c r="G53" s="22"/>
      <c r="H53" s="22"/>
      <c r="I53" s="22"/>
      <c r="J53" s="22"/>
      <c r="K53" s="22"/>
      <c r="L53" s="190"/>
      <c r="M53" s="190"/>
      <c r="N53" s="27"/>
      <c r="O53" s="27"/>
      <c r="P53" s="27"/>
      <c r="Q53" s="27"/>
      <c r="R53" s="27"/>
      <c r="S53" s="27"/>
      <c r="T53" s="27"/>
      <c r="U53" s="27"/>
      <c r="V53" s="27"/>
      <c r="W53" s="27"/>
      <c r="X53" s="27"/>
      <c r="Y53" s="27"/>
      <c r="Z53" s="27"/>
      <c r="AA53" s="27"/>
      <c r="AB53" s="27"/>
      <c r="AC53" s="27"/>
      <c r="AD53" s="27"/>
      <c r="AE53" s="27"/>
      <c r="AF53" s="27"/>
      <c r="AG53" s="27"/>
      <c r="AH53" s="27"/>
      <c r="AI53" s="27"/>
    </row>
    <row r="54" spans="1:35" ht="15.75" x14ac:dyDescent="0.25">
      <c r="A54" s="148" t="s">
        <v>660</v>
      </c>
      <c r="B54" s="22"/>
      <c r="C54" s="22"/>
      <c r="D54" s="22"/>
      <c r="E54" s="22"/>
      <c r="F54" s="22"/>
      <c r="G54" s="22"/>
      <c r="H54" s="22"/>
      <c r="I54" s="22"/>
      <c r="J54" s="22"/>
      <c r="K54" s="22"/>
      <c r="L54" s="190"/>
      <c r="M54" s="190"/>
      <c r="N54" s="79"/>
      <c r="O54" s="27"/>
      <c r="P54" s="27"/>
      <c r="Q54" s="27"/>
      <c r="R54" s="27"/>
      <c r="S54" s="27"/>
      <c r="T54" s="27"/>
      <c r="U54" s="27"/>
      <c r="V54" s="27"/>
      <c r="W54" s="27"/>
      <c r="X54" s="27"/>
      <c r="Y54" s="27"/>
      <c r="Z54" s="27"/>
      <c r="AA54" s="27"/>
      <c r="AB54" s="27"/>
      <c r="AC54" s="27"/>
      <c r="AD54" s="27"/>
      <c r="AE54" s="27"/>
      <c r="AF54" s="27"/>
      <c r="AG54" s="27"/>
      <c r="AH54" s="27"/>
      <c r="AI54" s="27"/>
    </row>
    <row r="55" spans="1:35" ht="15.75" x14ac:dyDescent="0.25">
      <c r="A55" s="27"/>
      <c r="B55" s="22"/>
      <c r="C55" s="22"/>
      <c r="D55" s="22"/>
      <c r="E55" s="22"/>
      <c r="F55" s="22"/>
      <c r="G55" s="22"/>
      <c r="H55" s="22"/>
      <c r="I55" s="22"/>
      <c r="J55" s="22"/>
      <c r="K55" s="22"/>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1:35" ht="15.75" x14ac:dyDescent="0.25">
      <c r="A56" s="27"/>
      <c r="B56" s="22"/>
      <c r="C56" s="22"/>
      <c r="D56" s="22"/>
      <c r="E56" s="22"/>
      <c r="F56" s="22"/>
      <c r="G56" s="22"/>
      <c r="H56" s="22"/>
      <c r="I56" s="22"/>
      <c r="J56" s="22"/>
      <c r="K56" s="22"/>
      <c r="L56" s="27"/>
      <c r="M56" s="27"/>
      <c r="N56" s="27"/>
      <c r="O56" s="27"/>
      <c r="P56" s="27"/>
      <c r="Q56" s="27"/>
      <c r="R56" s="27"/>
      <c r="S56" s="27"/>
      <c r="T56" s="27"/>
      <c r="U56" s="27"/>
      <c r="V56" s="27"/>
      <c r="W56" s="27"/>
      <c r="X56" s="27"/>
      <c r="Y56" s="27"/>
      <c r="Z56" s="27"/>
      <c r="AA56" s="27"/>
      <c r="AB56" s="27"/>
      <c r="AC56" s="27"/>
      <c r="AD56" s="27"/>
      <c r="AE56" s="27"/>
      <c r="AF56" s="27"/>
      <c r="AG56" s="27"/>
      <c r="AH56" s="27"/>
      <c r="AI56" s="27"/>
    </row>
    <row r="57" spans="1:35" ht="15.75" x14ac:dyDescent="0.25">
      <c r="A57" s="27"/>
      <c r="B57" s="22"/>
      <c r="C57" s="22"/>
      <c r="D57" s="22"/>
      <c r="E57" s="22"/>
      <c r="F57" s="22"/>
      <c r="G57" s="22"/>
      <c r="H57" s="22"/>
      <c r="I57" s="22"/>
      <c r="J57" s="22"/>
      <c r="K57" s="22"/>
      <c r="L57" s="27"/>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1:35" ht="15.75" x14ac:dyDescent="0.25">
      <c r="B58" s="22"/>
      <c r="C58" s="22"/>
      <c r="D58" s="22"/>
      <c r="E58" s="22"/>
      <c r="F58" s="22"/>
      <c r="G58" s="22"/>
      <c r="H58" s="22"/>
      <c r="I58" s="22"/>
      <c r="J58" s="22"/>
      <c r="K58" s="22"/>
      <c r="L58" s="27"/>
      <c r="M58" s="27"/>
      <c r="N58" s="27"/>
      <c r="O58" s="27"/>
      <c r="P58" s="27"/>
      <c r="Q58" s="27"/>
      <c r="R58" s="27"/>
      <c r="S58" s="27"/>
      <c r="T58" s="27"/>
      <c r="U58" s="27"/>
      <c r="V58" s="27"/>
      <c r="W58" s="27"/>
      <c r="X58" s="27"/>
      <c r="Y58" s="27"/>
      <c r="Z58" s="27"/>
      <c r="AA58" s="27"/>
      <c r="AB58" s="27"/>
      <c r="AC58" s="27"/>
      <c r="AD58" s="27"/>
      <c r="AE58" s="27"/>
      <c r="AF58" s="27"/>
      <c r="AG58" s="27"/>
      <c r="AH58" s="27"/>
      <c r="AI58" s="27"/>
    </row>
    <row r="59" spans="1:35" x14ac:dyDescent="0.25">
      <c r="B59" s="22"/>
      <c r="C59" s="22"/>
      <c r="D59" s="22"/>
      <c r="E59" s="22"/>
      <c r="F59" s="22"/>
      <c r="G59" s="22"/>
      <c r="H59" s="22"/>
      <c r="I59" s="22"/>
      <c r="J59" s="22"/>
      <c r="K59" s="22"/>
    </row>
    <row r="60" spans="1:35" x14ac:dyDescent="0.25">
      <c r="B60" s="22"/>
      <c r="C60" s="22"/>
      <c r="D60" s="22"/>
      <c r="E60" s="22"/>
      <c r="F60" s="22"/>
      <c r="G60" s="22"/>
      <c r="H60" s="22"/>
      <c r="I60" s="22"/>
      <c r="J60" s="22"/>
      <c r="K60" s="22"/>
    </row>
    <row r="61" spans="1:35" x14ac:dyDescent="0.25">
      <c r="B61" s="22"/>
      <c r="C61" s="22"/>
      <c r="D61" s="22"/>
      <c r="E61" s="22"/>
      <c r="F61" s="22"/>
      <c r="G61" s="22"/>
      <c r="H61" s="22"/>
      <c r="I61" s="22"/>
      <c r="J61" s="22"/>
      <c r="K61" s="22"/>
    </row>
  </sheetData>
  <sheetProtection sheet="1" objects="1" scenarios="1"/>
  <conditionalFormatting sqref="K6:K40">
    <cfRule type="dataBar" priority="6">
      <dataBar>
        <cfvo type="num" val="0"/>
        <cfvo type="num" val="1"/>
        <color theme="4" tint="-0.249977111117893"/>
      </dataBar>
      <extLst>
        <ext xmlns:x14="http://schemas.microsoft.com/office/spreadsheetml/2009/9/main" uri="{B025F937-C7B1-47D3-B67F-A62EFF666E3E}">
          <x14:id>{97400DA6-6E73-4CF3-8C10-7D365DA804F0}</x14:id>
        </ext>
      </extLst>
    </cfRule>
  </conditionalFormatting>
  <conditionalFormatting sqref="G7:J36 G44:J47">
    <cfRule type="dataBar" priority="5">
      <dataBar>
        <cfvo type="num" val="0"/>
        <cfvo type="num" val="1"/>
        <color rgb="FFB4A9D4"/>
      </dataBar>
      <extLst>
        <ext xmlns:x14="http://schemas.microsoft.com/office/spreadsheetml/2009/9/main" uri="{B025F937-C7B1-47D3-B67F-A62EFF666E3E}">
          <x14:id>{753AFE70-F71D-4558-9AB0-D171E13A5127}</x14:id>
        </ext>
      </extLst>
    </cfRule>
  </conditionalFormatting>
  <conditionalFormatting sqref="H6:J6">
    <cfRule type="dataBar" priority="4">
      <dataBar>
        <cfvo type="num" val="0"/>
        <cfvo type="num" val="1"/>
        <color theme="4" tint="-0.249977111117893"/>
      </dataBar>
      <extLst>
        <ext xmlns:x14="http://schemas.microsoft.com/office/spreadsheetml/2009/9/main" uri="{B025F937-C7B1-47D3-B67F-A62EFF666E3E}">
          <x14:id>{B22C5159-C310-41F7-8FAF-4136E58F4DC9}</x14:id>
        </ext>
      </extLst>
    </cfRule>
  </conditionalFormatting>
  <conditionalFormatting sqref="G43:J43">
    <cfRule type="dataBar" priority="2">
      <dataBar>
        <cfvo type="num" val="0"/>
        <cfvo type="num" val="1"/>
        <color rgb="FFB4A9D4"/>
      </dataBar>
      <extLst>
        <ext xmlns:x14="http://schemas.microsoft.com/office/spreadsheetml/2009/9/main" uri="{B025F937-C7B1-47D3-B67F-A62EFF666E3E}">
          <x14:id>{A0397F87-686B-4CF4-B831-EA63B0B67234}</x14:id>
        </ext>
      </extLst>
    </cfRule>
  </conditionalFormatting>
  <conditionalFormatting sqref="G37:J42">
    <cfRule type="dataBar" priority="1">
      <dataBar>
        <cfvo type="num" val="0"/>
        <cfvo type="num" val="1"/>
        <color rgb="FFB4A9D4"/>
      </dataBar>
      <extLst>
        <ext xmlns:x14="http://schemas.microsoft.com/office/spreadsheetml/2009/9/main" uri="{B025F937-C7B1-47D3-B67F-A62EFF666E3E}">
          <x14:id>{ACC97834-E06D-4FC8-B45D-0EF749A74AED}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7400DA6-6E73-4CF3-8C10-7D365DA804F0}">
            <x14:dataBar minLength="0" maxLength="100" border="1">
              <x14:cfvo type="num">
                <xm:f>0</xm:f>
              </x14:cfvo>
              <x14:cfvo type="num">
                <xm:f>1</xm:f>
              </x14:cfvo>
              <x14:borderColor theme="8" tint="0.39997558519241921"/>
              <x14:negativeFillColor rgb="FFFF0000"/>
              <x14:axisColor rgb="FF000000"/>
            </x14:dataBar>
          </x14:cfRule>
          <xm:sqref>K6:K40</xm:sqref>
        </x14:conditionalFormatting>
        <x14:conditionalFormatting xmlns:xm="http://schemas.microsoft.com/office/excel/2006/main">
          <x14:cfRule type="dataBar" id="{753AFE70-F71D-4558-9AB0-D171E13A5127}">
            <x14:dataBar minLength="0" maxLength="100" gradient="0">
              <x14:cfvo type="num">
                <xm:f>0</xm:f>
              </x14:cfvo>
              <x14:cfvo type="num">
                <xm:f>1</xm:f>
              </x14:cfvo>
              <x14:negativeFillColor rgb="FFFF0000"/>
              <x14:axisColor rgb="FF000000"/>
            </x14:dataBar>
          </x14:cfRule>
          <xm:sqref>G7:J36 G44:J47</xm:sqref>
        </x14:conditionalFormatting>
        <x14:conditionalFormatting xmlns:xm="http://schemas.microsoft.com/office/excel/2006/main">
          <x14:cfRule type="dataBar" id="{B22C5159-C310-41F7-8FAF-4136E58F4DC9}">
            <x14:dataBar minLength="0" maxLength="100" border="1">
              <x14:cfvo type="num">
                <xm:f>0</xm:f>
              </x14:cfvo>
              <x14:cfvo type="num">
                <xm:f>1</xm:f>
              </x14:cfvo>
              <x14:borderColor theme="8" tint="0.39997558519241921"/>
              <x14:negativeFillColor rgb="FFFF0000"/>
              <x14:axisColor rgb="FF000000"/>
            </x14:dataBar>
          </x14:cfRule>
          <xm:sqref>H6:J6</xm:sqref>
        </x14:conditionalFormatting>
        <x14:conditionalFormatting xmlns:xm="http://schemas.microsoft.com/office/excel/2006/main">
          <x14:cfRule type="dataBar" id="{A0397F87-686B-4CF4-B831-EA63B0B67234}">
            <x14:dataBar minLength="0" maxLength="100" gradient="0">
              <x14:cfvo type="num">
                <xm:f>0</xm:f>
              </x14:cfvo>
              <x14:cfvo type="num">
                <xm:f>1</xm:f>
              </x14:cfvo>
              <x14:negativeFillColor rgb="FFFF0000"/>
              <x14:axisColor rgb="FF000000"/>
            </x14:dataBar>
          </x14:cfRule>
          <xm:sqref>G43:J43</xm:sqref>
        </x14:conditionalFormatting>
        <x14:conditionalFormatting xmlns:xm="http://schemas.microsoft.com/office/excel/2006/main">
          <x14:cfRule type="dataBar" id="{ACC97834-E06D-4FC8-B45D-0EF749A74AED}">
            <x14:dataBar minLength="0" maxLength="100" gradient="0">
              <x14:cfvo type="num">
                <xm:f>0</xm:f>
              </x14:cfvo>
              <x14:cfvo type="num">
                <xm:f>1</xm:f>
              </x14:cfvo>
              <x14:negativeFillColor rgb="FFFF0000"/>
              <x14:axisColor rgb="FF000000"/>
            </x14:dataBar>
          </x14:cfRule>
          <xm:sqref>G37:J42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51"/>
  <sheetViews>
    <sheetView zoomScale="75" zoomScaleNormal="75" workbookViewId="0"/>
  </sheetViews>
  <sheetFormatPr defaultRowHeight="15" x14ac:dyDescent="0.25"/>
  <cols>
    <col min="1" max="1" width="25.7109375" customWidth="1"/>
    <col min="2" max="11" width="21.5703125" customWidth="1"/>
    <col min="12" max="12" width="23" customWidth="1"/>
    <col min="13" max="13" width="21.5703125" customWidth="1"/>
    <col min="22" max="22" width="12.140625" bestFit="1" customWidth="1"/>
  </cols>
  <sheetData>
    <row r="1" spans="1:28" ht="21" x14ac:dyDescent="0.35">
      <c r="A1" s="162" t="s">
        <v>309</v>
      </c>
      <c r="B1" s="85"/>
      <c r="C1" s="85"/>
      <c r="D1" s="85"/>
      <c r="E1" s="85"/>
      <c r="F1" s="85"/>
      <c r="G1" s="85"/>
      <c r="H1" s="30"/>
      <c r="I1" s="30"/>
      <c r="J1" s="30"/>
      <c r="K1" s="27"/>
      <c r="L1" s="27"/>
      <c r="M1" s="27"/>
      <c r="N1" s="27"/>
      <c r="O1" s="14"/>
      <c r="P1" s="14"/>
      <c r="Q1" s="14"/>
      <c r="R1" s="14"/>
      <c r="S1" s="14"/>
      <c r="T1" s="14"/>
      <c r="U1" s="14"/>
      <c r="V1" s="14"/>
      <c r="W1" s="14"/>
      <c r="X1" s="14"/>
      <c r="Y1" s="14"/>
    </row>
    <row r="2" spans="1:28" ht="15.75" x14ac:dyDescent="0.25">
      <c r="A2" s="81" t="s">
        <v>306</v>
      </c>
      <c r="B2" s="63"/>
      <c r="C2" s="63"/>
      <c r="D2" s="63"/>
      <c r="E2" s="63"/>
      <c r="F2" s="63"/>
      <c r="G2" s="63"/>
      <c r="H2" s="30"/>
      <c r="I2" s="30"/>
      <c r="J2" s="30"/>
      <c r="K2" s="70"/>
      <c r="L2" s="70"/>
      <c r="M2" s="70"/>
      <c r="N2" s="70"/>
      <c r="O2" s="14"/>
      <c r="P2" s="14"/>
      <c r="Q2" s="14"/>
      <c r="R2" s="14"/>
      <c r="S2" s="14"/>
      <c r="T2" s="14"/>
      <c r="U2" s="14"/>
      <c r="V2" s="14"/>
      <c r="W2" s="14"/>
      <c r="X2" s="14"/>
      <c r="Y2" s="14"/>
    </row>
    <row r="3" spans="1:28" s="198" customFormat="1" ht="15.95" customHeight="1" x14ac:dyDescent="0.35">
      <c r="A3" s="222" t="s">
        <v>745</v>
      </c>
      <c r="B3" s="223"/>
      <c r="C3" s="223"/>
      <c r="D3" s="223"/>
      <c r="E3" s="223"/>
      <c r="F3" s="223"/>
      <c r="G3" s="223"/>
      <c r="H3" s="224"/>
      <c r="I3" s="224"/>
      <c r="J3" s="224"/>
      <c r="K3" s="224"/>
    </row>
    <row r="4" spans="1:28" s="198" customFormat="1" ht="15.95" customHeight="1" x14ac:dyDescent="0.35">
      <c r="A4" s="222" t="s">
        <v>746</v>
      </c>
      <c r="B4" s="223"/>
      <c r="C4" s="223"/>
      <c r="D4" s="223"/>
      <c r="E4" s="223"/>
      <c r="F4" s="223"/>
      <c r="G4" s="223"/>
      <c r="H4" s="224"/>
      <c r="I4" s="224"/>
      <c r="J4" s="224"/>
      <c r="K4" s="224"/>
    </row>
    <row r="5" spans="1:28" ht="15.75" x14ac:dyDescent="0.25">
      <c r="A5" s="26" t="s">
        <v>749</v>
      </c>
      <c r="B5" s="63"/>
      <c r="C5" s="63"/>
      <c r="D5" s="63"/>
      <c r="E5" s="63"/>
      <c r="F5" s="63"/>
      <c r="G5" s="63"/>
      <c r="H5" s="30"/>
      <c r="I5" s="30"/>
      <c r="J5" s="30"/>
      <c r="K5" s="70"/>
      <c r="L5" s="70"/>
      <c r="M5" s="70"/>
      <c r="N5" s="70"/>
      <c r="O5" s="14"/>
      <c r="P5" s="14"/>
      <c r="Q5" s="14"/>
      <c r="R5" s="14"/>
      <c r="S5" s="14"/>
      <c r="T5" s="14"/>
      <c r="U5" s="14"/>
      <c r="V5" s="14"/>
      <c r="W5" s="14"/>
      <c r="X5" s="14"/>
      <c r="Y5" s="14"/>
    </row>
    <row r="6" spans="1:28" ht="78.75" x14ac:dyDescent="0.25">
      <c r="A6" s="38" t="s">
        <v>13</v>
      </c>
      <c r="B6" s="102" t="s">
        <v>782</v>
      </c>
      <c r="C6" s="102" t="s">
        <v>307</v>
      </c>
      <c r="D6" s="102" t="s">
        <v>666</v>
      </c>
      <c r="E6" s="102" t="s">
        <v>783</v>
      </c>
      <c r="F6" s="102" t="s">
        <v>784</v>
      </c>
      <c r="G6" s="102" t="s">
        <v>785</v>
      </c>
      <c r="H6" s="32" t="s">
        <v>786</v>
      </c>
      <c r="I6" s="32" t="s">
        <v>787</v>
      </c>
      <c r="J6" s="32" t="s">
        <v>788</v>
      </c>
      <c r="K6" s="87" t="s">
        <v>789</v>
      </c>
      <c r="L6" s="103" t="s">
        <v>670</v>
      </c>
      <c r="M6" s="87" t="s">
        <v>667</v>
      </c>
      <c r="N6" s="68"/>
      <c r="O6" s="22"/>
      <c r="P6" s="14"/>
      <c r="Q6" s="14"/>
      <c r="R6" s="14"/>
      <c r="S6" s="14"/>
      <c r="T6" s="14"/>
      <c r="U6" s="14"/>
      <c r="V6" s="14"/>
      <c r="W6" s="14"/>
      <c r="X6" s="14"/>
      <c r="Y6" s="14"/>
      <c r="Z6" s="14"/>
      <c r="AA6" s="14"/>
      <c r="AB6" s="14"/>
    </row>
    <row r="7" spans="1:28" ht="15.75" x14ac:dyDescent="0.25">
      <c r="A7" s="120" t="s">
        <v>6</v>
      </c>
      <c r="B7" s="144">
        <v>3010</v>
      </c>
      <c r="C7" s="131">
        <v>0.01</v>
      </c>
      <c r="D7" s="144">
        <v>2990</v>
      </c>
      <c r="E7" s="144">
        <v>1380</v>
      </c>
      <c r="F7" s="144">
        <v>710</v>
      </c>
      <c r="G7" s="144">
        <v>895</v>
      </c>
      <c r="H7" s="117">
        <v>0.46</v>
      </c>
      <c r="I7" s="117">
        <v>0.24</v>
      </c>
      <c r="J7" s="116">
        <v>0.3</v>
      </c>
      <c r="K7" s="144" t="s">
        <v>495</v>
      </c>
      <c r="L7" s="130">
        <v>12</v>
      </c>
      <c r="M7" s="132">
        <v>0.95</v>
      </c>
      <c r="N7" s="27"/>
      <c r="O7" s="22"/>
      <c r="P7" s="14"/>
      <c r="Q7" s="14"/>
      <c r="R7" s="14"/>
      <c r="S7" s="14"/>
      <c r="T7" s="14"/>
      <c r="U7" s="14"/>
      <c r="V7" s="14"/>
      <c r="W7" s="14"/>
      <c r="X7" s="14"/>
      <c r="Y7" s="14"/>
      <c r="Z7" s="14"/>
      <c r="AA7" s="14"/>
      <c r="AB7" s="14"/>
    </row>
    <row r="8" spans="1:28" ht="15.75" x14ac:dyDescent="0.25">
      <c r="A8" s="145" t="s">
        <v>259</v>
      </c>
      <c r="B8" s="140" t="s">
        <v>449</v>
      </c>
      <c r="C8" s="140" t="s">
        <v>449</v>
      </c>
      <c r="D8" s="136">
        <v>0</v>
      </c>
      <c r="E8" s="139">
        <v>0</v>
      </c>
      <c r="F8" s="139">
        <v>0</v>
      </c>
      <c r="G8" s="135">
        <v>0</v>
      </c>
      <c r="H8" s="111">
        <v>0</v>
      </c>
      <c r="I8" s="111">
        <v>0</v>
      </c>
      <c r="J8" s="141">
        <v>0</v>
      </c>
      <c r="K8" s="139" t="s">
        <v>449</v>
      </c>
      <c r="L8" s="135" t="s">
        <v>495</v>
      </c>
      <c r="M8" s="111" t="s">
        <v>495</v>
      </c>
      <c r="N8" s="27"/>
      <c r="O8" s="22"/>
      <c r="P8" s="14"/>
      <c r="Q8" s="14"/>
      <c r="R8" s="14"/>
      <c r="S8" s="14"/>
      <c r="T8" s="14"/>
      <c r="U8" s="14"/>
      <c r="V8" s="14"/>
      <c r="W8" s="14"/>
      <c r="X8" s="14"/>
      <c r="Y8" s="14"/>
      <c r="Z8" s="14"/>
      <c r="AA8" s="14"/>
      <c r="AB8" s="14"/>
    </row>
    <row r="9" spans="1:28" ht="15.75" x14ac:dyDescent="0.25">
      <c r="A9" s="145" t="s">
        <v>260</v>
      </c>
      <c r="B9" s="14">
        <v>105</v>
      </c>
      <c r="C9" s="142">
        <v>1.2E-2</v>
      </c>
      <c r="D9" s="213">
        <v>30</v>
      </c>
      <c r="E9" s="138">
        <v>20</v>
      </c>
      <c r="F9" s="138">
        <v>10</v>
      </c>
      <c r="G9" s="135" t="s">
        <v>449</v>
      </c>
      <c r="H9" s="111">
        <v>0.65</v>
      </c>
      <c r="I9" s="111" t="s">
        <v>449</v>
      </c>
      <c r="J9" s="141" t="s">
        <v>449</v>
      </c>
      <c r="K9" s="138">
        <v>75</v>
      </c>
      <c r="L9" s="138">
        <v>12</v>
      </c>
      <c r="M9" s="111">
        <v>1</v>
      </c>
      <c r="N9" s="27"/>
      <c r="O9" s="22"/>
      <c r="P9" s="14"/>
      <c r="Q9" s="14"/>
      <c r="R9" s="14"/>
      <c r="S9" s="14"/>
      <c r="T9" s="14"/>
      <c r="U9" s="14"/>
      <c r="V9" s="14"/>
      <c r="W9" s="14"/>
      <c r="X9" s="14"/>
      <c r="Y9" s="14"/>
      <c r="Z9" s="14"/>
      <c r="AA9" s="14"/>
      <c r="AB9" s="14"/>
    </row>
    <row r="10" spans="1:28" ht="15.75" x14ac:dyDescent="0.25">
      <c r="A10" s="145" t="s">
        <v>261</v>
      </c>
      <c r="B10" s="14">
        <v>135</v>
      </c>
      <c r="C10" s="142">
        <v>4.1000000000000002E-2</v>
      </c>
      <c r="D10" s="214">
        <v>115</v>
      </c>
      <c r="E10" s="138">
        <v>60</v>
      </c>
      <c r="F10" s="138">
        <v>40</v>
      </c>
      <c r="G10" s="133">
        <v>15</v>
      </c>
      <c r="H10" s="111">
        <v>0.53</v>
      </c>
      <c r="I10" s="111">
        <v>0.34</v>
      </c>
      <c r="J10" s="141">
        <v>0.13</v>
      </c>
      <c r="K10" s="138">
        <v>90</v>
      </c>
      <c r="L10" s="138">
        <v>15</v>
      </c>
      <c r="M10" s="111" t="s">
        <v>449</v>
      </c>
      <c r="N10" s="27"/>
      <c r="O10" s="22"/>
      <c r="P10" s="14"/>
      <c r="Q10" s="14"/>
      <c r="R10" s="14"/>
      <c r="S10" s="14"/>
      <c r="T10" s="14"/>
      <c r="U10" s="14"/>
      <c r="V10" s="14"/>
      <c r="W10" s="14"/>
      <c r="X10" s="14"/>
      <c r="Y10" s="14"/>
      <c r="Z10" s="14"/>
      <c r="AA10" s="14"/>
      <c r="AB10" s="14"/>
    </row>
    <row r="11" spans="1:28" ht="15.75" x14ac:dyDescent="0.25">
      <c r="A11" s="145" t="s">
        <v>264</v>
      </c>
      <c r="B11" s="14">
        <v>105</v>
      </c>
      <c r="C11" s="142">
        <v>3.5000000000000003E-2</v>
      </c>
      <c r="D11" s="214">
        <v>155</v>
      </c>
      <c r="E11" s="138">
        <v>70</v>
      </c>
      <c r="F11" s="138">
        <v>70</v>
      </c>
      <c r="G11" s="133">
        <v>15</v>
      </c>
      <c r="H11" s="111">
        <v>0.44</v>
      </c>
      <c r="I11" s="111">
        <v>0.45</v>
      </c>
      <c r="J11" s="141">
        <v>0.11</v>
      </c>
      <c r="K11" s="138">
        <v>45</v>
      </c>
      <c r="L11" s="138">
        <v>14</v>
      </c>
      <c r="M11" s="111">
        <v>0.97</v>
      </c>
      <c r="N11" s="27"/>
      <c r="O11" s="22"/>
      <c r="P11" s="14"/>
      <c r="Q11" s="14"/>
      <c r="R11" s="14"/>
      <c r="S11" s="14"/>
      <c r="T11" s="14"/>
      <c r="U11" s="14"/>
      <c r="V11" s="14"/>
      <c r="W11" s="14"/>
      <c r="X11" s="14"/>
      <c r="Y11" s="14"/>
      <c r="Z11" s="14"/>
      <c r="AA11" s="14"/>
      <c r="AB11" s="14"/>
    </row>
    <row r="12" spans="1:28" ht="15.75" x14ac:dyDescent="0.25">
      <c r="A12" s="145" t="s">
        <v>265</v>
      </c>
      <c r="B12" s="14">
        <v>85</v>
      </c>
      <c r="C12" s="142">
        <v>2.1999999999999999E-2</v>
      </c>
      <c r="D12" s="214">
        <v>80</v>
      </c>
      <c r="E12" s="138">
        <v>35</v>
      </c>
      <c r="F12" s="138">
        <v>35</v>
      </c>
      <c r="G12" s="133">
        <v>15</v>
      </c>
      <c r="H12" s="111">
        <v>0.43</v>
      </c>
      <c r="I12" s="111">
        <v>0.41</v>
      </c>
      <c r="J12" s="141">
        <v>0.16</v>
      </c>
      <c r="K12" s="138">
        <v>50</v>
      </c>
      <c r="L12" s="138">
        <v>14</v>
      </c>
      <c r="M12" s="111" t="s">
        <v>449</v>
      </c>
      <c r="N12" s="27"/>
      <c r="O12" s="22"/>
      <c r="P12" s="14"/>
      <c r="Q12" s="14"/>
      <c r="R12" s="14"/>
      <c r="S12" s="14"/>
      <c r="T12" s="14"/>
      <c r="U12" s="14"/>
      <c r="V12" s="14"/>
      <c r="W12" s="14"/>
      <c r="X12" s="14"/>
      <c r="Y12" s="14"/>
      <c r="Z12" s="14"/>
      <c r="AA12" s="14"/>
      <c r="AB12" s="14"/>
    </row>
    <row r="13" spans="1:28" ht="15.75" x14ac:dyDescent="0.25">
      <c r="A13" s="145" t="s">
        <v>266</v>
      </c>
      <c r="B13" s="14">
        <v>155</v>
      </c>
      <c r="C13" s="142">
        <v>7.0000000000000001E-3</v>
      </c>
      <c r="D13" s="214">
        <v>130</v>
      </c>
      <c r="E13" s="138">
        <v>70</v>
      </c>
      <c r="F13" s="138">
        <v>45</v>
      </c>
      <c r="G13" s="133">
        <v>20</v>
      </c>
      <c r="H13" s="111">
        <v>0.52</v>
      </c>
      <c r="I13" s="111">
        <v>0.33</v>
      </c>
      <c r="J13" s="141">
        <v>0.16</v>
      </c>
      <c r="K13" s="138">
        <v>70</v>
      </c>
      <c r="L13" s="138">
        <v>11</v>
      </c>
      <c r="M13" s="111">
        <v>0.96</v>
      </c>
      <c r="N13" s="27"/>
      <c r="O13" s="14"/>
      <c r="P13" s="14"/>
      <c r="Q13" s="14"/>
      <c r="R13" s="14"/>
    </row>
    <row r="14" spans="1:28" ht="15.75" x14ac:dyDescent="0.25">
      <c r="A14" s="145" t="s">
        <v>267</v>
      </c>
      <c r="B14" s="14">
        <v>250</v>
      </c>
      <c r="C14" s="142">
        <v>1.2E-2</v>
      </c>
      <c r="D14" s="214">
        <v>200</v>
      </c>
      <c r="E14" s="138">
        <v>130</v>
      </c>
      <c r="F14" s="138">
        <v>45</v>
      </c>
      <c r="G14" s="133">
        <v>25</v>
      </c>
      <c r="H14" s="111">
        <v>0.64</v>
      </c>
      <c r="I14" s="111">
        <v>0.24</v>
      </c>
      <c r="J14" s="141">
        <v>0.13</v>
      </c>
      <c r="K14" s="138">
        <v>120</v>
      </c>
      <c r="L14" s="138">
        <v>9</v>
      </c>
      <c r="M14" s="111" t="s">
        <v>449</v>
      </c>
      <c r="N14" s="27"/>
      <c r="O14" s="14"/>
      <c r="P14" s="14"/>
      <c r="Q14" s="14"/>
      <c r="R14" s="14"/>
    </row>
    <row r="15" spans="1:28" ht="15.75" x14ac:dyDescent="0.25">
      <c r="A15" s="145" t="s">
        <v>268</v>
      </c>
      <c r="B15" s="14">
        <v>175</v>
      </c>
      <c r="C15" s="142">
        <v>1.2999999999999999E-2</v>
      </c>
      <c r="D15" s="214">
        <v>250</v>
      </c>
      <c r="E15" s="138">
        <v>170</v>
      </c>
      <c r="F15" s="138">
        <v>60</v>
      </c>
      <c r="G15" s="133">
        <v>20</v>
      </c>
      <c r="H15" s="111">
        <v>0.68</v>
      </c>
      <c r="I15" s="111">
        <v>0.24</v>
      </c>
      <c r="J15" s="141">
        <v>0.08</v>
      </c>
      <c r="K15" s="138">
        <v>45</v>
      </c>
      <c r="L15" s="138">
        <v>13</v>
      </c>
      <c r="M15" s="111">
        <v>0.97</v>
      </c>
      <c r="N15" s="27"/>
      <c r="O15" s="14"/>
      <c r="P15" s="14"/>
      <c r="Q15" s="14"/>
      <c r="R15" s="14"/>
    </row>
    <row r="16" spans="1:28" ht="15.75" x14ac:dyDescent="0.25">
      <c r="A16" s="145" t="s">
        <v>269</v>
      </c>
      <c r="B16" s="14">
        <v>85</v>
      </c>
      <c r="C16" s="142">
        <v>1.0999999999999999E-2</v>
      </c>
      <c r="D16" s="214">
        <v>100</v>
      </c>
      <c r="E16" s="138">
        <v>60</v>
      </c>
      <c r="F16" s="138">
        <v>25</v>
      </c>
      <c r="G16" s="133">
        <v>10</v>
      </c>
      <c r="H16" s="111">
        <v>0.62</v>
      </c>
      <c r="I16" s="111">
        <v>0.27</v>
      </c>
      <c r="J16" s="141">
        <v>0.11</v>
      </c>
      <c r="K16" s="138">
        <v>35</v>
      </c>
      <c r="L16" s="138">
        <v>11</v>
      </c>
      <c r="M16" s="111" t="s">
        <v>449</v>
      </c>
      <c r="N16" s="27"/>
      <c r="O16" s="14"/>
      <c r="P16" s="14"/>
      <c r="Q16" s="14"/>
      <c r="R16" s="14"/>
    </row>
    <row r="17" spans="1:18" ht="15.75" x14ac:dyDescent="0.25">
      <c r="A17" s="145" t="s">
        <v>270</v>
      </c>
      <c r="B17" s="14">
        <v>60</v>
      </c>
      <c r="C17" s="142">
        <v>8.9999999999999993E-3</v>
      </c>
      <c r="D17" s="214">
        <v>80</v>
      </c>
      <c r="E17" s="138">
        <v>40</v>
      </c>
      <c r="F17" s="138">
        <v>20</v>
      </c>
      <c r="G17" s="133">
        <v>20</v>
      </c>
      <c r="H17" s="111">
        <v>0.51</v>
      </c>
      <c r="I17" s="111">
        <v>0.24</v>
      </c>
      <c r="J17" s="141">
        <v>0.24</v>
      </c>
      <c r="K17" s="138">
        <v>15</v>
      </c>
      <c r="L17" s="138">
        <v>10</v>
      </c>
      <c r="M17" s="111" t="s">
        <v>449</v>
      </c>
      <c r="N17" s="27"/>
      <c r="O17" s="14"/>
      <c r="P17" s="14"/>
      <c r="Q17" s="14"/>
      <c r="R17" s="14"/>
    </row>
    <row r="18" spans="1:18" ht="15.75" x14ac:dyDescent="0.25">
      <c r="A18" s="145" t="s">
        <v>271</v>
      </c>
      <c r="B18" s="14">
        <v>55</v>
      </c>
      <c r="C18" s="142">
        <v>8.0000000000000002E-3</v>
      </c>
      <c r="D18" s="214">
        <v>50</v>
      </c>
      <c r="E18" s="138">
        <v>15</v>
      </c>
      <c r="F18" s="138">
        <v>10</v>
      </c>
      <c r="G18" s="133">
        <v>20</v>
      </c>
      <c r="H18" s="111">
        <v>0.35</v>
      </c>
      <c r="I18" s="111">
        <v>0.2</v>
      </c>
      <c r="J18" s="141">
        <v>0.45</v>
      </c>
      <c r="K18" s="138">
        <v>20</v>
      </c>
      <c r="L18" s="138">
        <v>12</v>
      </c>
      <c r="M18" s="111" t="s">
        <v>449</v>
      </c>
      <c r="N18" s="27"/>
      <c r="O18" s="14"/>
      <c r="P18" s="14"/>
      <c r="Q18" s="14"/>
      <c r="R18" s="14"/>
    </row>
    <row r="19" spans="1:18" ht="15.75" x14ac:dyDescent="0.25">
      <c r="A19" s="145" t="s">
        <v>272</v>
      </c>
      <c r="B19" s="14">
        <v>40</v>
      </c>
      <c r="C19" s="142">
        <v>5.0000000000000001E-3</v>
      </c>
      <c r="D19" s="214">
        <v>50</v>
      </c>
      <c r="E19" s="138">
        <v>25</v>
      </c>
      <c r="F19" s="138">
        <v>10</v>
      </c>
      <c r="G19" s="133">
        <v>15</v>
      </c>
      <c r="H19" s="111">
        <v>0.56000000000000005</v>
      </c>
      <c r="I19" s="111">
        <v>0.17</v>
      </c>
      <c r="J19" s="141">
        <v>0.27</v>
      </c>
      <c r="K19" s="138">
        <v>15</v>
      </c>
      <c r="L19" s="138">
        <v>15</v>
      </c>
      <c r="M19" s="111" t="s">
        <v>449</v>
      </c>
      <c r="N19" s="27"/>
      <c r="O19" s="14"/>
      <c r="P19" s="14"/>
      <c r="Q19" s="14"/>
      <c r="R19" s="22"/>
    </row>
    <row r="20" spans="1:18" ht="15.75" x14ac:dyDescent="0.25">
      <c r="A20" s="145" t="s">
        <v>273</v>
      </c>
      <c r="B20" s="14">
        <v>35</v>
      </c>
      <c r="C20" s="142">
        <v>5.0000000000000001E-3</v>
      </c>
      <c r="D20" s="214">
        <v>45</v>
      </c>
      <c r="E20" s="138">
        <v>20</v>
      </c>
      <c r="F20" s="138">
        <v>10</v>
      </c>
      <c r="G20" s="133">
        <v>15</v>
      </c>
      <c r="H20" s="111">
        <v>0.47</v>
      </c>
      <c r="I20" s="111">
        <v>0.24</v>
      </c>
      <c r="J20" s="141">
        <v>0.28999999999999998</v>
      </c>
      <c r="K20" s="138">
        <v>5</v>
      </c>
      <c r="L20" s="138">
        <v>11</v>
      </c>
      <c r="M20" s="111" t="s">
        <v>449</v>
      </c>
      <c r="N20" s="27"/>
      <c r="O20" s="14"/>
      <c r="P20" s="14"/>
      <c r="Q20" s="14"/>
      <c r="R20" s="22"/>
    </row>
    <row r="21" spans="1:18" ht="15.75" x14ac:dyDescent="0.25">
      <c r="A21" s="145" t="s">
        <v>274</v>
      </c>
      <c r="B21" s="14">
        <v>60</v>
      </c>
      <c r="C21" s="142">
        <v>8.0000000000000002E-3</v>
      </c>
      <c r="D21" s="214">
        <v>40</v>
      </c>
      <c r="E21" s="138">
        <v>10</v>
      </c>
      <c r="F21" s="138">
        <v>5</v>
      </c>
      <c r="G21" s="133">
        <v>20</v>
      </c>
      <c r="H21" s="111">
        <v>0.24</v>
      </c>
      <c r="I21" s="111">
        <v>0.18</v>
      </c>
      <c r="J21" s="141">
        <v>0.57999999999999996</v>
      </c>
      <c r="K21" s="138">
        <v>25</v>
      </c>
      <c r="L21" s="138">
        <v>9</v>
      </c>
      <c r="M21" s="111">
        <v>1</v>
      </c>
      <c r="N21" s="27"/>
      <c r="O21" s="14"/>
      <c r="P21" s="14"/>
      <c r="Q21" s="14"/>
      <c r="R21" s="22"/>
    </row>
    <row r="22" spans="1:18" ht="15.75" x14ac:dyDescent="0.25">
      <c r="A22" s="145" t="s">
        <v>262</v>
      </c>
      <c r="B22" s="22">
        <v>50</v>
      </c>
      <c r="C22" s="142">
        <v>6.0000000000000001E-3</v>
      </c>
      <c r="D22" s="214">
        <v>55</v>
      </c>
      <c r="E22" s="138">
        <v>20</v>
      </c>
      <c r="F22" s="138">
        <v>15</v>
      </c>
      <c r="G22" s="133">
        <v>20</v>
      </c>
      <c r="H22" s="111">
        <v>0.39</v>
      </c>
      <c r="I22" s="111">
        <v>0.25</v>
      </c>
      <c r="J22" s="141">
        <v>0.37</v>
      </c>
      <c r="K22" s="138">
        <v>20</v>
      </c>
      <c r="L22" s="138">
        <v>12</v>
      </c>
      <c r="M22" s="111">
        <v>1</v>
      </c>
      <c r="N22" s="27"/>
      <c r="O22" s="14"/>
      <c r="P22" s="22"/>
      <c r="Q22" s="14"/>
      <c r="R22" s="22"/>
    </row>
    <row r="23" spans="1:18" ht="15.75" x14ac:dyDescent="0.25">
      <c r="A23" s="145" t="s">
        <v>275</v>
      </c>
      <c r="B23" s="22">
        <v>60</v>
      </c>
      <c r="C23" s="142">
        <v>6.0000000000000001E-3</v>
      </c>
      <c r="D23" s="214">
        <v>55</v>
      </c>
      <c r="E23" s="138">
        <v>30</v>
      </c>
      <c r="F23" s="138">
        <v>20</v>
      </c>
      <c r="G23" s="133">
        <v>10</v>
      </c>
      <c r="H23" s="111">
        <v>0.49</v>
      </c>
      <c r="I23" s="111">
        <v>0.37</v>
      </c>
      <c r="J23" s="141">
        <v>0.14000000000000001</v>
      </c>
      <c r="K23" s="138">
        <v>25</v>
      </c>
      <c r="L23" s="138">
        <v>11</v>
      </c>
      <c r="M23" s="111" t="s">
        <v>449</v>
      </c>
      <c r="N23" s="27"/>
      <c r="O23" s="14"/>
      <c r="P23" s="22"/>
      <c r="Q23" s="14"/>
      <c r="R23" s="22"/>
    </row>
    <row r="24" spans="1:18" ht="15.75" x14ac:dyDescent="0.25">
      <c r="A24" s="145" t="s">
        <v>276</v>
      </c>
      <c r="B24" s="22">
        <v>95</v>
      </c>
      <c r="C24" s="142">
        <v>1.4999999999999999E-2</v>
      </c>
      <c r="D24" s="214">
        <v>90</v>
      </c>
      <c r="E24" s="138">
        <v>30</v>
      </c>
      <c r="F24" s="138">
        <v>10</v>
      </c>
      <c r="G24" s="133">
        <v>50</v>
      </c>
      <c r="H24" s="111">
        <v>0.34</v>
      </c>
      <c r="I24" s="111">
        <v>0.12</v>
      </c>
      <c r="J24" s="141">
        <v>0.53</v>
      </c>
      <c r="K24" s="138">
        <v>30</v>
      </c>
      <c r="L24" s="138">
        <v>8</v>
      </c>
      <c r="M24" s="111" t="s">
        <v>449</v>
      </c>
      <c r="N24" s="27"/>
      <c r="O24" s="14"/>
      <c r="P24" s="22"/>
      <c r="Q24" s="14"/>
      <c r="R24" s="22"/>
    </row>
    <row r="25" spans="1:18" ht="15.75" x14ac:dyDescent="0.25">
      <c r="A25" s="145" t="s">
        <v>277</v>
      </c>
      <c r="B25" s="22">
        <v>120</v>
      </c>
      <c r="C25" s="142">
        <v>1.9E-2</v>
      </c>
      <c r="D25" s="214">
        <v>110</v>
      </c>
      <c r="E25" s="138">
        <v>35</v>
      </c>
      <c r="F25" s="138">
        <v>15</v>
      </c>
      <c r="G25" s="133">
        <v>65</v>
      </c>
      <c r="H25" s="111">
        <v>0.32</v>
      </c>
      <c r="I25" s="111">
        <v>0.12</v>
      </c>
      <c r="J25" s="141">
        <v>0.56000000000000005</v>
      </c>
      <c r="K25" s="138">
        <v>35</v>
      </c>
      <c r="L25" s="138">
        <v>10</v>
      </c>
      <c r="M25" s="111">
        <v>1</v>
      </c>
      <c r="N25" s="27"/>
      <c r="O25" s="14"/>
      <c r="P25" s="22"/>
      <c r="Q25" s="14"/>
      <c r="R25" s="22"/>
    </row>
    <row r="26" spans="1:18" ht="15.75" x14ac:dyDescent="0.25">
      <c r="A26" s="145" t="s">
        <v>278</v>
      </c>
      <c r="B26" s="22">
        <v>150</v>
      </c>
      <c r="C26" s="142">
        <v>1.4E-2</v>
      </c>
      <c r="D26" s="214">
        <v>130</v>
      </c>
      <c r="E26" s="138">
        <v>40</v>
      </c>
      <c r="F26" s="138">
        <v>15</v>
      </c>
      <c r="G26" s="133">
        <v>75</v>
      </c>
      <c r="H26" s="111">
        <v>0.31</v>
      </c>
      <c r="I26" s="111">
        <v>0.13</v>
      </c>
      <c r="J26" s="141">
        <v>0.56000000000000005</v>
      </c>
      <c r="K26" s="138">
        <v>50</v>
      </c>
      <c r="L26" s="138">
        <v>11</v>
      </c>
      <c r="M26" s="111">
        <v>0.97</v>
      </c>
      <c r="N26" s="27"/>
      <c r="O26" s="22"/>
      <c r="P26" s="22"/>
      <c r="Q26" s="14"/>
      <c r="R26" s="22"/>
    </row>
    <row r="27" spans="1:18" ht="15.75" x14ac:dyDescent="0.25">
      <c r="A27" s="145" t="s">
        <v>279</v>
      </c>
      <c r="B27" s="22">
        <v>105</v>
      </c>
      <c r="C27" s="142">
        <v>6.0000000000000001E-3</v>
      </c>
      <c r="D27" s="214">
        <v>110</v>
      </c>
      <c r="E27" s="138">
        <v>40</v>
      </c>
      <c r="F27" s="138">
        <v>25</v>
      </c>
      <c r="G27" s="133">
        <v>40</v>
      </c>
      <c r="H27" s="111">
        <v>0.38</v>
      </c>
      <c r="I27" s="111">
        <v>0.25</v>
      </c>
      <c r="J27" s="141">
        <v>0.38</v>
      </c>
      <c r="K27" s="138">
        <v>45</v>
      </c>
      <c r="L27" s="138">
        <v>13</v>
      </c>
      <c r="M27" s="111">
        <v>0.94</v>
      </c>
      <c r="N27" s="27"/>
      <c r="O27" s="22"/>
      <c r="P27" s="22"/>
      <c r="Q27" s="14"/>
      <c r="R27" s="22"/>
    </row>
    <row r="28" spans="1:18" ht="15.75" x14ac:dyDescent="0.25">
      <c r="A28" s="145" t="s">
        <v>280</v>
      </c>
      <c r="B28" s="22">
        <v>95</v>
      </c>
      <c r="C28" s="142">
        <v>8.0000000000000002E-3</v>
      </c>
      <c r="D28" s="214">
        <v>90</v>
      </c>
      <c r="E28" s="138">
        <v>30</v>
      </c>
      <c r="F28" s="138">
        <v>20</v>
      </c>
      <c r="G28" s="133">
        <v>35</v>
      </c>
      <c r="H28" s="111">
        <v>0.36</v>
      </c>
      <c r="I28" s="111">
        <v>0.22</v>
      </c>
      <c r="J28" s="141">
        <v>0.42</v>
      </c>
      <c r="K28" s="138">
        <v>55</v>
      </c>
      <c r="L28" s="138">
        <v>14</v>
      </c>
      <c r="M28" s="111">
        <v>0.84</v>
      </c>
      <c r="N28" s="27"/>
      <c r="O28" s="22"/>
      <c r="P28" s="22"/>
      <c r="Q28" s="14"/>
      <c r="R28" s="22"/>
    </row>
    <row r="29" spans="1:18" ht="15.75" x14ac:dyDescent="0.25">
      <c r="A29" s="145" t="s">
        <v>281</v>
      </c>
      <c r="B29" s="22">
        <v>130</v>
      </c>
      <c r="C29" s="142">
        <v>0.01</v>
      </c>
      <c r="D29" s="214">
        <v>115</v>
      </c>
      <c r="E29" s="138">
        <v>55</v>
      </c>
      <c r="F29" s="138">
        <v>20</v>
      </c>
      <c r="G29" s="133">
        <v>40</v>
      </c>
      <c r="H29" s="111">
        <v>0.46</v>
      </c>
      <c r="I29" s="111">
        <v>0.18</v>
      </c>
      <c r="J29" s="141">
        <v>0.36</v>
      </c>
      <c r="K29" s="138">
        <v>65</v>
      </c>
      <c r="L29" s="138">
        <v>13</v>
      </c>
      <c r="M29" s="111">
        <v>0.96</v>
      </c>
      <c r="N29" s="27"/>
      <c r="O29" s="22"/>
      <c r="P29" s="22"/>
      <c r="Q29" s="22"/>
      <c r="R29" s="22"/>
    </row>
    <row r="30" spans="1:18" ht="15.75" x14ac:dyDescent="0.25">
      <c r="A30" s="145" t="s">
        <v>282</v>
      </c>
      <c r="B30" s="22">
        <v>115</v>
      </c>
      <c r="C30" s="142">
        <v>1.6E-2</v>
      </c>
      <c r="D30" s="214">
        <v>125</v>
      </c>
      <c r="E30" s="138">
        <v>60</v>
      </c>
      <c r="F30" s="138">
        <v>20</v>
      </c>
      <c r="G30" s="133">
        <v>40</v>
      </c>
      <c r="H30" s="111">
        <v>0.5</v>
      </c>
      <c r="I30" s="111">
        <v>0.17</v>
      </c>
      <c r="J30" s="141">
        <v>0.33</v>
      </c>
      <c r="K30" s="138">
        <v>55</v>
      </c>
      <c r="L30" s="138">
        <v>13</v>
      </c>
      <c r="M30" s="111">
        <v>0.9</v>
      </c>
      <c r="N30" s="27"/>
      <c r="O30" s="22"/>
      <c r="P30" s="22"/>
      <c r="Q30" s="22"/>
      <c r="R30" s="22"/>
    </row>
    <row r="31" spans="1:18" ht="15.75" x14ac:dyDescent="0.25">
      <c r="A31" s="145" t="s">
        <v>283</v>
      </c>
      <c r="B31" s="22">
        <v>90</v>
      </c>
      <c r="C31" s="142">
        <v>1.4E-2</v>
      </c>
      <c r="D31" s="214">
        <v>105</v>
      </c>
      <c r="E31" s="138">
        <v>45</v>
      </c>
      <c r="F31" s="138">
        <v>20</v>
      </c>
      <c r="G31" s="133">
        <v>40</v>
      </c>
      <c r="H31" s="111">
        <v>0.42</v>
      </c>
      <c r="I31" s="111">
        <v>0.21</v>
      </c>
      <c r="J31" s="141">
        <v>0.38</v>
      </c>
      <c r="K31" s="138">
        <v>40</v>
      </c>
      <c r="L31" s="138">
        <v>13</v>
      </c>
      <c r="M31" s="111">
        <v>0.91</v>
      </c>
      <c r="N31" s="27"/>
      <c r="O31" s="22"/>
      <c r="P31" s="22"/>
      <c r="Q31" s="22"/>
      <c r="R31" s="22"/>
    </row>
    <row r="32" spans="1:18" ht="15.75" x14ac:dyDescent="0.25">
      <c r="A32" s="146" t="s">
        <v>284</v>
      </c>
      <c r="B32" s="22">
        <v>45</v>
      </c>
      <c r="C32" s="142">
        <v>6.0000000000000001E-3</v>
      </c>
      <c r="D32" s="214">
        <v>55</v>
      </c>
      <c r="E32" s="138">
        <v>20</v>
      </c>
      <c r="F32" s="138">
        <v>20</v>
      </c>
      <c r="G32" s="133">
        <v>15</v>
      </c>
      <c r="H32" s="111">
        <v>0.36</v>
      </c>
      <c r="I32" s="111">
        <v>0.38</v>
      </c>
      <c r="J32" s="141">
        <v>0.25</v>
      </c>
      <c r="K32" s="138">
        <v>30</v>
      </c>
      <c r="L32" s="138">
        <v>10</v>
      </c>
      <c r="M32" s="111">
        <v>0.9</v>
      </c>
      <c r="N32" s="27"/>
      <c r="O32" s="22"/>
      <c r="P32" s="22"/>
      <c r="Q32" s="22"/>
      <c r="R32" s="22"/>
    </row>
    <row r="33" spans="1:30" ht="15.75" x14ac:dyDescent="0.25">
      <c r="A33" s="147" t="s">
        <v>285</v>
      </c>
      <c r="B33" s="22">
        <v>55</v>
      </c>
      <c r="C33" s="142">
        <v>8.0000000000000002E-3</v>
      </c>
      <c r="D33" s="214">
        <v>55</v>
      </c>
      <c r="E33" s="138">
        <v>15</v>
      </c>
      <c r="F33" s="138">
        <v>10</v>
      </c>
      <c r="G33" s="133">
        <v>30</v>
      </c>
      <c r="H33" s="111">
        <v>0.3</v>
      </c>
      <c r="I33" s="111">
        <v>0.17</v>
      </c>
      <c r="J33" s="141">
        <v>0.53</v>
      </c>
      <c r="K33" s="138">
        <v>30</v>
      </c>
      <c r="L33" s="138">
        <v>11</v>
      </c>
      <c r="M33" s="111" t="s">
        <v>449</v>
      </c>
      <c r="N33" s="27"/>
      <c r="O33" s="22"/>
      <c r="P33" s="22"/>
      <c r="Q33" s="22"/>
      <c r="R33" s="22"/>
    </row>
    <row r="34" spans="1:30" ht="15.75" x14ac:dyDescent="0.25">
      <c r="A34" s="147" t="s">
        <v>263</v>
      </c>
      <c r="B34" s="22">
        <v>70</v>
      </c>
      <c r="C34" s="142">
        <v>8.0000000000000002E-3</v>
      </c>
      <c r="D34" s="214">
        <v>65</v>
      </c>
      <c r="E34" s="138">
        <v>20</v>
      </c>
      <c r="F34" s="138">
        <v>15</v>
      </c>
      <c r="G34" s="138">
        <v>30</v>
      </c>
      <c r="H34" s="111">
        <v>0.32</v>
      </c>
      <c r="I34" s="111">
        <v>0.21</v>
      </c>
      <c r="J34" s="141">
        <v>0.48</v>
      </c>
      <c r="K34" s="138">
        <v>35</v>
      </c>
      <c r="L34" s="138">
        <v>10</v>
      </c>
      <c r="M34" s="111">
        <v>0.94</v>
      </c>
      <c r="N34" s="27"/>
      <c r="O34" s="22"/>
      <c r="P34" s="22"/>
      <c r="Q34" s="22"/>
      <c r="R34" s="22"/>
    </row>
    <row r="35" spans="1:30" ht="15.75" x14ac:dyDescent="0.25">
      <c r="A35" s="147" t="s">
        <v>286</v>
      </c>
      <c r="B35" s="22">
        <v>80</v>
      </c>
      <c r="C35" s="142">
        <v>8.0000000000000002E-3</v>
      </c>
      <c r="D35" s="214">
        <v>90</v>
      </c>
      <c r="E35" s="138">
        <v>35</v>
      </c>
      <c r="F35" s="138">
        <v>15</v>
      </c>
      <c r="G35" s="138">
        <v>45</v>
      </c>
      <c r="H35" s="111">
        <v>0.37</v>
      </c>
      <c r="I35" s="111">
        <v>0.15</v>
      </c>
      <c r="J35" s="141">
        <v>0.48</v>
      </c>
      <c r="K35" s="138">
        <v>30</v>
      </c>
      <c r="L35" s="138">
        <v>6</v>
      </c>
      <c r="M35" s="111">
        <v>0.93</v>
      </c>
      <c r="N35" s="27"/>
      <c r="O35" s="22"/>
      <c r="P35" s="22"/>
      <c r="Q35" s="22"/>
      <c r="R35" s="22"/>
    </row>
    <row r="36" spans="1:30" ht="15.75" x14ac:dyDescent="0.25">
      <c r="A36" s="145" t="s">
        <v>287</v>
      </c>
      <c r="B36" s="22">
        <v>55</v>
      </c>
      <c r="C36" s="142">
        <v>6.0000000000000001E-3</v>
      </c>
      <c r="D36" s="214">
        <v>60</v>
      </c>
      <c r="E36" s="138">
        <v>20</v>
      </c>
      <c r="F36" s="138">
        <v>10</v>
      </c>
      <c r="G36" s="138">
        <v>30</v>
      </c>
      <c r="H36" s="111">
        <v>0.33</v>
      </c>
      <c r="I36" s="111">
        <v>0.2</v>
      </c>
      <c r="J36" s="141">
        <v>0.47</v>
      </c>
      <c r="K36" s="138">
        <v>20</v>
      </c>
      <c r="L36" s="138">
        <v>6</v>
      </c>
      <c r="M36" s="111" t="s">
        <v>449</v>
      </c>
      <c r="N36" s="27"/>
      <c r="O36" s="22"/>
      <c r="P36" s="22"/>
      <c r="Q36" s="22"/>
      <c r="R36" s="22"/>
    </row>
    <row r="37" spans="1:30" s="22" customFormat="1" ht="15.75" x14ac:dyDescent="0.25">
      <c r="A37" s="145" t="s">
        <v>288</v>
      </c>
      <c r="B37" s="22">
        <v>55</v>
      </c>
      <c r="C37" s="142">
        <v>7.0000000000000001E-3</v>
      </c>
      <c r="D37" s="214">
        <v>55</v>
      </c>
      <c r="E37" s="138">
        <v>15</v>
      </c>
      <c r="F37" s="138">
        <v>10</v>
      </c>
      <c r="G37" s="138">
        <v>30</v>
      </c>
      <c r="H37" s="111">
        <v>0.25</v>
      </c>
      <c r="I37" s="111">
        <v>0.19</v>
      </c>
      <c r="J37" s="141">
        <v>0.56999999999999995</v>
      </c>
      <c r="K37" s="138">
        <v>25</v>
      </c>
      <c r="L37" s="138">
        <v>7</v>
      </c>
      <c r="M37" s="111">
        <v>0.91</v>
      </c>
      <c r="N37" s="37"/>
    </row>
    <row r="38" spans="1:30" s="22" customFormat="1" ht="15.75" x14ac:dyDescent="0.25">
      <c r="A38" s="145" t="s">
        <v>683</v>
      </c>
      <c r="B38" s="22">
        <v>65</v>
      </c>
      <c r="C38" s="142">
        <v>4.0000000000000001E-3</v>
      </c>
      <c r="D38" s="214">
        <v>65</v>
      </c>
      <c r="E38" s="138">
        <v>20</v>
      </c>
      <c r="F38" s="138">
        <v>15</v>
      </c>
      <c r="G38" s="138">
        <v>30</v>
      </c>
      <c r="H38" s="111">
        <v>0.32</v>
      </c>
      <c r="I38" s="111">
        <v>0.24</v>
      </c>
      <c r="J38" s="141">
        <v>0.44</v>
      </c>
      <c r="K38" s="138">
        <v>25</v>
      </c>
      <c r="L38" s="138">
        <v>9</v>
      </c>
      <c r="M38" s="111">
        <v>0.94</v>
      </c>
      <c r="N38" s="37"/>
    </row>
    <row r="39" spans="1:30" s="22" customFormat="1" ht="15.75" x14ac:dyDescent="0.25">
      <c r="A39" s="145" t="s">
        <v>684</v>
      </c>
      <c r="B39" s="22">
        <v>60</v>
      </c>
      <c r="C39" s="142">
        <v>7.0000000000000001E-3</v>
      </c>
      <c r="D39" s="214">
        <v>60</v>
      </c>
      <c r="E39" s="138">
        <v>20</v>
      </c>
      <c r="F39" s="138">
        <v>15</v>
      </c>
      <c r="G39" s="138">
        <v>25</v>
      </c>
      <c r="H39" s="111">
        <v>0.32</v>
      </c>
      <c r="I39" s="111">
        <v>0.27</v>
      </c>
      <c r="J39" s="141">
        <v>0.4</v>
      </c>
      <c r="K39" s="138">
        <v>25</v>
      </c>
      <c r="L39" s="138">
        <v>8</v>
      </c>
      <c r="M39" s="111">
        <v>0.92</v>
      </c>
      <c r="N39" s="37"/>
    </row>
    <row r="40" spans="1:30" ht="15.75" x14ac:dyDescent="0.25">
      <c r="A40" s="146" t="s">
        <v>685</v>
      </c>
      <c r="B40" s="22">
        <v>65</v>
      </c>
      <c r="C40" s="142">
        <v>8.9999999999999993E-3</v>
      </c>
      <c r="D40" s="214">
        <v>55</v>
      </c>
      <c r="E40" s="138">
        <v>30</v>
      </c>
      <c r="F40" s="138">
        <v>10</v>
      </c>
      <c r="G40" s="133">
        <v>15</v>
      </c>
      <c r="H40" s="111">
        <v>0.51</v>
      </c>
      <c r="I40" s="111">
        <v>0.2</v>
      </c>
      <c r="J40" s="141">
        <v>0.28999999999999998</v>
      </c>
      <c r="K40" s="138">
        <v>35</v>
      </c>
      <c r="L40" s="138">
        <v>6</v>
      </c>
      <c r="M40" s="111">
        <v>1</v>
      </c>
      <c r="N40" s="27"/>
      <c r="O40" s="22"/>
      <c r="P40" s="22"/>
      <c r="Q40" s="22"/>
      <c r="R40" s="22"/>
    </row>
    <row r="41" spans="1:30" s="22" customFormat="1" ht="15.75" x14ac:dyDescent="0.25">
      <c r="A41" s="147" t="s">
        <v>742</v>
      </c>
      <c r="B41" s="22">
        <v>50</v>
      </c>
      <c r="C41" s="142">
        <v>0.01</v>
      </c>
      <c r="D41" s="214">
        <v>65</v>
      </c>
      <c r="E41" s="138">
        <v>25</v>
      </c>
      <c r="F41" s="138">
        <v>15</v>
      </c>
      <c r="G41" s="133">
        <v>25</v>
      </c>
      <c r="H41" s="111">
        <v>0.41</v>
      </c>
      <c r="I41" s="111">
        <v>0.21</v>
      </c>
      <c r="J41" s="141">
        <v>0.38</v>
      </c>
      <c r="K41" s="138">
        <v>20</v>
      </c>
      <c r="L41" s="138">
        <v>8</v>
      </c>
      <c r="M41" s="111">
        <v>0.73</v>
      </c>
      <c r="N41" s="198"/>
      <c r="O41" s="198"/>
      <c r="P41" s="198"/>
      <c r="Q41" s="198"/>
      <c r="R41" s="198"/>
      <c r="S41" s="198"/>
      <c r="T41" s="198"/>
      <c r="V41" s="208"/>
      <c r="W41" s="208"/>
      <c r="X41" s="208"/>
      <c r="Y41" s="208"/>
      <c r="Z41" s="208"/>
      <c r="AA41" s="208"/>
      <c r="AB41" s="208"/>
      <c r="AC41" s="208"/>
      <c r="AD41" s="208"/>
    </row>
    <row r="42" spans="1:30" s="22" customFormat="1" ht="15.75" x14ac:dyDescent="0.25">
      <c r="A42" s="147" t="s">
        <v>743</v>
      </c>
      <c r="B42" s="22">
        <v>35</v>
      </c>
      <c r="C42" s="142">
        <v>8.0000000000000002E-3</v>
      </c>
      <c r="D42" s="214">
        <v>30</v>
      </c>
      <c r="E42" s="138">
        <v>25</v>
      </c>
      <c r="F42" s="138">
        <v>5</v>
      </c>
      <c r="G42" s="138">
        <v>0</v>
      </c>
      <c r="H42" s="111">
        <v>0.78</v>
      </c>
      <c r="I42" s="111">
        <v>0.22</v>
      </c>
      <c r="J42" s="141">
        <v>0</v>
      </c>
      <c r="K42" s="138">
        <v>20</v>
      </c>
      <c r="L42" s="138">
        <v>5</v>
      </c>
      <c r="M42" s="111" t="s">
        <v>449</v>
      </c>
      <c r="N42" s="198"/>
      <c r="O42" s="198"/>
      <c r="P42" s="198"/>
      <c r="Q42" s="198"/>
      <c r="R42" s="198"/>
      <c r="S42" s="198"/>
      <c r="T42" s="198"/>
      <c r="V42" s="208"/>
      <c r="W42" s="208"/>
      <c r="X42" s="208"/>
      <c r="Y42" s="208"/>
      <c r="Z42" s="208"/>
      <c r="AA42" s="208"/>
      <c r="AB42" s="208"/>
      <c r="AC42" s="208"/>
      <c r="AD42" s="208"/>
    </row>
    <row r="43" spans="1:30" s="22" customFormat="1" ht="15.75" x14ac:dyDescent="0.25">
      <c r="A43" s="147" t="s">
        <v>744</v>
      </c>
      <c r="B43" s="22">
        <v>30</v>
      </c>
      <c r="C43" s="142">
        <v>5.0000000000000001E-3</v>
      </c>
      <c r="D43" s="214">
        <v>25</v>
      </c>
      <c r="E43" s="138">
        <v>25</v>
      </c>
      <c r="F43" s="138">
        <v>5</v>
      </c>
      <c r="G43" s="138">
        <v>0</v>
      </c>
      <c r="H43" s="111">
        <v>0.85</v>
      </c>
      <c r="I43" s="111">
        <v>0.15</v>
      </c>
      <c r="J43" s="141">
        <v>0</v>
      </c>
      <c r="K43" s="138">
        <v>25</v>
      </c>
      <c r="L43" s="138">
        <v>5</v>
      </c>
      <c r="M43" s="111">
        <v>0.81</v>
      </c>
      <c r="N43" s="198"/>
      <c r="O43" s="198"/>
      <c r="P43" s="198"/>
      <c r="Q43" s="198"/>
      <c r="R43" s="198"/>
      <c r="S43" s="198"/>
      <c r="T43" s="198"/>
      <c r="V43" s="208"/>
      <c r="W43" s="208"/>
      <c r="X43" s="208"/>
      <c r="Y43" s="208"/>
      <c r="Z43" s="208"/>
      <c r="AA43" s="208"/>
      <c r="AB43" s="208"/>
      <c r="AC43" s="208"/>
      <c r="AD43" s="208"/>
    </row>
    <row r="44" spans="1:30" s="22" customFormat="1" ht="15.75" x14ac:dyDescent="0.25">
      <c r="A44" s="64" t="s">
        <v>8</v>
      </c>
      <c r="B44" s="83"/>
      <c r="C44" s="83"/>
      <c r="D44" s="83"/>
      <c r="E44" s="83"/>
      <c r="F44" s="83"/>
      <c r="G44" s="83"/>
      <c r="H44" s="83"/>
      <c r="I44" s="83"/>
      <c r="J44" s="83"/>
      <c r="K44" s="83"/>
      <c r="L44" s="83"/>
      <c r="M44" s="83"/>
      <c r="N44" s="27"/>
    </row>
    <row r="45" spans="1:30" ht="15.75" x14ac:dyDescent="0.25">
      <c r="A45" s="64" t="s">
        <v>64</v>
      </c>
      <c r="B45" s="27"/>
      <c r="C45" s="27"/>
      <c r="D45" s="27"/>
      <c r="E45" s="27"/>
      <c r="F45" s="27"/>
      <c r="G45" s="27"/>
      <c r="H45" s="27"/>
      <c r="I45" s="27"/>
      <c r="J45" s="27"/>
      <c r="K45" s="79"/>
      <c r="L45" s="27"/>
      <c r="M45" s="27"/>
      <c r="N45" s="27"/>
      <c r="O45" s="22"/>
      <c r="P45" s="22"/>
      <c r="Q45" s="22"/>
      <c r="R45" s="22"/>
    </row>
    <row r="46" spans="1:30" s="22" customFormat="1" ht="15.75" x14ac:dyDescent="0.25">
      <c r="A46" s="64" t="s">
        <v>664</v>
      </c>
      <c r="B46" s="37"/>
      <c r="C46" s="37"/>
      <c r="D46" s="37"/>
      <c r="E46" s="37"/>
      <c r="F46" s="37"/>
      <c r="G46" s="37"/>
      <c r="H46" s="37"/>
      <c r="I46" s="37"/>
      <c r="J46" s="37"/>
      <c r="K46" s="172"/>
      <c r="L46" s="37"/>
      <c r="M46" s="37"/>
      <c r="N46" s="37"/>
    </row>
    <row r="47" spans="1:30" ht="15.75" x14ac:dyDescent="0.25">
      <c r="A47" s="37" t="s">
        <v>665</v>
      </c>
      <c r="B47" s="27"/>
      <c r="C47" s="27"/>
      <c r="D47" s="27"/>
      <c r="E47" s="27"/>
      <c r="F47" s="27"/>
      <c r="G47" s="27"/>
      <c r="H47" s="27"/>
      <c r="I47" s="27"/>
      <c r="J47" s="27"/>
      <c r="K47" s="27"/>
      <c r="L47" s="27"/>
      <c r="M47" s="27"/>
      <c r="N47" s="27"/>
      <c r="P47" s="22"/>
      <c r="Q47" s="22"/>
      <c r="R47" s="22"/>
    </row>
    <row r="48" spans="1:30" s="155" customFormat="1" ht="15.75" x14ac:dyDescent="0.25">
      <c r="A48" s="46" t="s">
        <v>668</v>
      </c>
      <c r="B48" s="29"/>
      <c r="C48" s="29"/>
      <c r="D48" s="29"/>
      <c r="E48" s="29"/>
      <c r="F48" s="29"/>
      <c r="G48" s="29"/>
      <c r="H48" s="29"/>
      <c r="I48" s="29"/>
      <c r="J48" s="29"/>
      <c r="K48" s="29"/>
      <c r="L48" s="29"/>
      <c r="M48" s="29"/>
      <c r="N48" s="29"/>
      <c r="P48" s="22"/>
      <c r="Q48" s="22"/>
      <c r="R48" s="22"/>
    </row>
    <row r="49" spans="1:18" ht="15.75" x14ac:dyDescent="0.25">
      <c r="A49" s="37" t="s">
        <v>669</v>
      </c>
      <c r="B49" s="27"/>
      <c r="C49" s="27"/>
      <c r="D49" s="27"/>
      <c r="E49" s="27"/>
      <c r="F49" s="27"/>
      <c r="G49" s="27"/>
      <c r="H49" s="27"/>
      <c r="I49" s="27"/>
      <c r="J49" s="27"/>
      <c r="K49" s="27"/>
      <c r="L49" s="27"/>
      <c r="M49" s="27"/>
      <c r="N49" s="27"/>
      <c r="P49" s="22"/>
      <c r="Q49" s="22"/>
      <c r="R49" s="22"/>
    </row>
    <row r="50" spans="1:18" ht="15.75" x14ac:dyDescent="0.25">
      <c r="C50" s="99"/>
      <c r="D50" s="100"/>
      <c r="K50" s="27"/>
      <c r="L50" s="27"/>
      <c r="M50" s="27"/>
      <c r="N50" s="79"/>
      <c r="P50" s="22"/>
      <c r="Q50" s="22"/>
      <c r="R50" s="22"/>
    </row>
    <row r="51" spans="1:18" ht="15.75" x14ac:dyDescent="0.25">
      <c r="C51" s="99"/>
      <c r="D51" s="100"/>
      <c r="E51" s="100"/>
      <c r="K51" s="27"/>
      <c r="L51" s="27"/>
      <c r="M51" s="27"/>
      <c r="N51" s="27"/>
      <c r="P51" s="22"/>
    </row>
  </sheetData>
  <sheetProtection sheet="1" objects="1" scenarios="1"/>
  <conditionalFormatting sqref="H44:N44 N6:N40">
    <cfRule type="dataBar" priority="94">
      <dataBar>
        <cfvo type="num" val="0"/>
        <cfvo type="num" val="1"/>
        <color theme="4" tint="-0.249977111117893"/>
      </dataBar>
      <extLst>
        <ext xmlns:x14="http://schemas.microsoft.com/office/spreadsheetml/2009/9/main" uri="{B025F937-C7B1-47D3-B67F-A62EFF666E3E}">
          <x14:id>{688E8E4F-7568-4491-B6C0-3C87710A74FD}</x14:id>
        </ext>
      </extLst>
    </cfRule>
  </conditionalFormatting>
  <conditionalFormatting sqref="C8">
    <cfRule type="dataBar" priority="44">
      <dataBar>
        <cfvo type="num" val="0"/>
        <cfvo type="num" val="1"/>
        <color rgb="FFB4A9D4"/>
      </dataBar>
      <extLst>
        <ext xmlns:x14="http://schemas.microsoft.com/office/spreadsheetml/2009/9/main" uri="{B025F937-C7B1-47D3-B67F-A62EFF666E3E}">
          <x14:id>{94BFD9D2-EECA-43ED-805A-6F05F6E792B5}</x14:id>
        </ext>
      </extLst>
    </cfRule>
  </conditionalFormatting>
  <conditionalFormatting sqref="C7">
    <cfRule type="dataBar" priority="30">
      <dataBar>
        <cfvo type="num" val="0"/>
        <cfvo type="num" val="1"/>
        <color rgb="FFB4A9D4"/>
      </dataBar>
      <extLst>
        <ext xmlns:x14="http://schemas.microsoft.com/office/spreadsheetml/2009/9/main" uri="{B025F937-C7B1-47D3-B67F-A62EFF666E3E}">
          <x14:id>{A2623CA6-6594-464A-8D4F-B4220D8275DC}</x14:id>
        </ext>
      </extLst>
    </cfRule>
  </conditionalFormatting>
  <conditionalFormatting sqref="H8:I8 I9">
    <cfRule type="dataBar" priority="28">
      <dataBar>
        <cfvo type="num" val="0"/>
        <cfvo type="num" val="1"/>
        <color rgb="FFB4A9D4"/>
      </dataBar>
      <extLst>
        <ext xmlns:x14="http://schemas.microsoft.com/office/spreadsheetml/2009/9/main" uri="{B025F937-C7B1-47D3-B67F-A62EFF666E3E}">
          <x14:id>{5D22370A-0FE9-4A50-8513-E4A01FF93116}</x14:id>
        </ext>
      </extLst>
    </cfRule>
  </conditionalFormatting>
  <conditionalFormatting sqref="M8:M25 M36:M37 M30:M33 M28">
    <cfRule type="dataBar" priority="26">
      <dataBar>
        <cfvo type="num" val="0"/>
        <cfvo type="num" val="1"/>
        <color rgb="FFB4A9D4"/>
      </dataBar>
      <extLst>
        <ext xmlns:x14="http://schemas.microsoft.com/office/spreadsheetml/2009/9/main" uri="{B025F937-C7B1-47D3-B67F-A62EFF666E3E}">
          <x14:id>{855A1AAD-3E02-4EA6-9A96-A4B51FB3DDD5}</x14:id>
        </ext>
      </extLst>
    </cfRule>
  </conditionalFormatting>
  <conditionalFormatting sqref="M7">
    <cfRule type="dataBar" priority="25">
      <dataBar>
        <cfvo type="num" val="0"/>
        <cfvo type="num" val="1"/>
        <color rgb="FFB4A9D4"/>
      </dataBar>
      <extLst>
        <ext xmlns:x14="http://schemas.microsoft.com/office/spreadsheetml/2009/9/main" uri="{B025F937-C7B1-47D3-B67F-A62EFF666E3E}">
          <x14:id>{41F6C0CC-23CA-41A7-AAD4-C881D5BC576E}</x14:id>
        </ext>
      </extLst>
    </cfRule>
  </conditionalFormatting>
  <conditionalFormatting sqref="C9:C39">
    <cfRule type="dataBar" priority="19">
      <dataBar>
        <cfvo type="num" val="0"/>
        <cfvo type="num" val="1"/>
        <color rgb="FFB4A9D4"/>
      </dataBar>
      <extLst>
        <ext xmlns:x14="http://schemas.microsoft.com/office/spreadsheetml/2009/9/main" uri="{B025F937-C7B1-47D3-B67F-A62EFF666E3E}">
          <x14:id>{D979FA28-DC4B-4150-9F52-4FE265ABD7EF}</x14:id>
        </ext>
      </extLst>
    </cfRule>
  </conditionalFormatting>
  <conditionalFormatting sqref="H9:H39 I10:I39">
    <cfRule type="dataBar" priority="22">
      <dataBar>
        <cfvo type="num" val="0"/>
        <cfvo type="num" val="1"/>
        <color rgb="FFB4A9D4"/>
      </dataBar>
      <extLst>
        <ext xmlns:x14="http://schemas.microsoft.com/office/spreadsheetml/2009/9/main" uri="{B025F937-C7B1-47D3-B67F-A62EFF666E3E}">
          <x14:id>{331EBB79-188C-49E2-97D4-D7AFEFF81A0E}</x14:id>
        </ext>
      </extLst>
    </cfRule>
  </conditionalFormatting>
  <conditionalFormatting sqref="H7:I7">
    <cfRule type="dataBar" priority="23">
      <dataBar>
        <cfvo type="num" val="0"/>
        <cfvo type="num" val="1"/>
        <color rgb="FFB4A9D4"/>
      </dataBar>
      <extLst>
        <ext xmlns:x14="http://schemas.microsoft.com/office/spreadsheetml/2009/9/main" uri="{B025F937-C7B1-47D3-B67F-A62EFF666E3E}">
          <x14:id>{3824F8A6-C4E5-4E04-8641-D17DE456BD40}</x14:id>
        </ext>
      </extLst>
    </cfRule>
  </conditionalFormatting>
  <conditionalFormatting sqref="M34:M35">
    <cfRule type="dataBar" priority="11">
      <dataBar>
        <cfvo type="num" val="0"/>
        <cfvo type="num" val="1"/>
        <color rgb="FFB4A9D4"/>
      </dataBar>
      <extLst>
        <ext xmlns:x14="http://schemas.microsoft.com/office/spreadsheetml/2009/9/main" uri="{B025F937-C7B1-47D3-B67F-A62EFF666E3E}">
          <x14:id>{585E534B-8357-43AC-A3A1-8EA531772D0A}</x14:id>
        </ext>
      </extLst>
    </cfRule>
  </conditionalFormatting>
  <conditionalFormatting sqref="M26:M27">
    <cfRule type="dataBar" priority="9">
      <dataBar>
        <cfvo type="num" val="0"/>
        <cfvo type="num" val="1"/>
        <color rgb="FFB4A9D4"/>
      </dataBar>
      <extLst>
        <ext xmlns:x14="http://schemas.microsoft.com/office/spreadsheetml/2009/9/main" uri="{B025F937-C7B1-47D3-B67F-A62EFF666E3E}">
          <x14:id>{5A4ED07B-74F3-4B70-A64A-2924F7112162}</x14:id>
        </ext>
      </extLst>
    </cfRule>
  </conditionalFormatting>
  <conditionalFormatting sqref="M29">
    <cfRule type="dataBar" priority="10">
      <dataBar>
        <cfvo type="num" val="0"/>
        <cfvo type="num" val="1"/>
        <color rgb="FFB4A9D4"/>
      </dataBar>
      <extLst>
        <ext xmlns:x14="http://schemas.microsoft.com/office/spreadsheetml/2009/9/main" uri="{B025F937-C7B1-47D3-B67F-A62EFF666E3E}">
          <x14:id>{5FE9F791-5600-4795-8A87-B2E445B7D832}</x14:id>
        </ext>
      </extLst>
    </cfRule>
  </conditionalFormatting>
  <conditionalFormatting sqref="J8">
    <cfRule type="dataBar" priority="16">
      <dataBar>
        <cfvo type="num" val="0"/>
        <cfvo type="num" val="1"/>
        <color rgb="FFB4A9D4"/>
      </dataBar>
      <extLst>
        <ext xmlns:x14="http://schemas.microsoft.com/office/spreadsheetml/2009/9/main" uri="{B025F937-C7B1-47D3-B67F-A62EFF666E3E}">
          <x14:id>{A36CB7F9-13D7-46A4-B2F4-2C4FB6B458C6}</x14:id>
        </ext>
      </extLst>
    </cfRule>
  </conditionalFormatting>
  <conditionalFormatting sqref="J9:J39">
    <cfRule type="dataBar" priority="14">
      <dataBar>
        <cfvo type="num" val="0"/>
        <cfvo type="num" val="1"/>
        <color rgb="FFB4A9D4"/>
      </dataBar>
      <extLst>
        <ext xmlns:x14="http://schemas.microsoft.com/office/spreadsheetml/2009/9/main" uri="{B025F937-C7B1-47D3-B67F-A62EFF666E3E}">
          <x14:id>{D4CCFA6E-4F74-4777-A3E7-ECCD1413A463}</x14:id>
        </ext>
      </extLst>
    </cfRule>
  </conditionalFormatting>
  <conditionalFormatting sqref="J7">
    <cfRule type="dataBar" priority="15">
      <dataBar>
        <cfvo type="num" val="0"/>
        <cfvo type="num" val="1"/>
        <color rgb="FFB4A9D4"/>
      </dataBar>
      <extLst>
        <ext xmlns:x14="http://schemas.microsoft.com/office/spreadsheetml/2009/9/main" uri="{B025F937-C7B1-47D3-B67F-A62EFF666E3E}">
          <x14:id>{170063C0-A3AC-4E71-BA4D-FD14DD9CB15C}</x14:id>
        </ext>
      </extLst>
    </cfRule>
  </conditionalFormatting>
  <conditionalFormatting sqref="B8">
    <cfRule type="dataBar" priority="13">
      <dataBar>
        <cfvo type="num" val="0"/>
        <cfvo type="num" val="1"/>
        <color rgb="FFB4A9D4"/>
      </dataBar>
      <extLst>
        <ext xmlns:x14="http://schemas.microsoft.com/office/spreadsheetml/2009/9/main" uri="{B025F937-C7B1-47D3-B67F-A62EFF666E3E}">
          <x14:id>{DEAE39EB-CA9D-42C9-B84F-A6FA3600CFCF}</x14:id>
        </ext>
      </extLst>
    </cfRule>
  </conditionalFormatting>
  <conditionalFormatting sqref="M38:M39">
    <cfRule type="dataBar" priority="12">
      <dataBar>
        <cfvo type="num" val="0"/>
        <cfvo type="num" val="1"/>
        <color rgb="FFB4A9D4"/>
      </dataBar>
      <extLst>
        <ext xmlns:x14="http://schemas.microsoft.com/office/spreadsheetml/2009/9/main" uri="{B025F937-C7B1-47D3-B67F-A62EFF666E3E}">
          <x14:id>{634D0B7D-8E87-4F8D-B53D-CF79DA51DF5B}</x14:id>
        </ext>
      </extLst>
    </cfRule>
  </conditionalFormatting>
  <conditionalFormatting sqref="J40:J43">
    <cfRule type="dataBar" priority="3">
      <dataBar>
        <cfvo type="num" val="0"/>
        <cfvo type="num" val="1"/>
        <color rgb="FFB4A9D4"/>
      </dataBar>
      <extLst>
        <ext xmlns:x14="http://schemas.microsoft.com/office/spreadsheetml/2009/9/main" uri="{B025F937-C7B1-47D3-B67F-A62EFF666E3E}">
          <x14:id>{613025F0-F96D-4538-A56D-DC8F7C4853D4}</x14:id>
        </ext>
      </extLst>
    </cfRule>
  </conditionalFormatting>
  <conditionalFormatting sqref="M42:M43">
    <cfRule type="dataBar" priority="2">
      <dataBar>
        <cfvo type="num" val="0"/>
        <cfvo type="num" val="1"/>
        <color rgb="FFB4A9D4"/>
      </dataBar>
      <extLst>
        <ext xmlns:x14="http://schemas.microsoft.com/office/spreadsheetml/2009/9/main" uri="{B025F937-C7B1-47D3-B67F-A62EFF666E3E}">
          <x14:id>{09934E42-546A-4EC5-94C5-F8D4986DBC7C}</x14:id>
        </ext>
      </extLst>
    </cfRule>
  </conditionalFormatting>
  <conditionalFormatting sqref="M40:M41">
    <cfRule type="dataBar" priority="6">
      <dataBar>
        <cfvo type="num" val="0"/>
        <cfvo type="num" val="1"/>
        <color rgb="FFB4A9D4"/>
      </dataBar>
      <extLst>
        <ext xmlns:x14="http://schemas.microsoft.com/office/spreadsheetml/2009/9/main" uri="{B025F937-C7B1-47D3-B67F-A62EFF666E3E}">
          <x14:id>{A69B4A2A-F735-4551-9EC4-1577987FA1B3}</x14:id>
        </ext>
      </extLst>
    </cfRule>
  </conditionalFormatting>
  <conditionalFormatting sqref="C40:C43">
    <cfRule type="dataBar" priority="4">
      <dataBar>
        <cfvo type="num" val="0"/>
        <cfvo type="num" val="1"/>
        <color rgb="FFB4A9D4"/>
      </dataBar>
      <extLst>
        <ext xmlns:x14="http://schemas.microsoft.com/office/spreadsheetml/2009/9/main" uri="{B025F937-C7B1-47D3-B67F-A62EFF666E3E}">
          <x14:id>{FC062A69-E918-4D59-8653-AAC2193EA1FF}</x14:id>
        </ext>
      </extLst>
    </cfRule>
  </conditionalFormatting>
  <conditionalFormatting sqref="H40:I43">
    <cfRule type="dataBar" priority="5">
      <dataBar>
        <cfvo type="num" val="0"/>
        <cfvo type="num" val="1"/>
        <color rgb="FFB4A9D4"/>
      </dataBar>
      <extLst>
        <ext xmlns:x14="http://schemas.microsoft.com/office/spreadsheetml/2009/9/main" uri="{B025F937-C7B1-47D3-B67F-A62EFF666E3E}">
          <x14:id>{95721FBC-1079-4173-94D0-E864B50A48FE}</x14:id>
        </ext>
      </extLst>
    </cfRule>
  </conditionalFormatting>
  <conditionalFormatting sqref="H6:M6">
    <cfRule type="dataBar" priority="1">
      <dataBar>
        <cfvo type="num" val="0"/>
        <cfvo type="num" val="1"/>
        <color theme="4" tint="-0.249977111117893"/>
      </dataBar>
      <extLst>
        <ext xmlns:x14="http://schemas.microsoft.com/office/spreadsheetml/2009/9/main" uri="{B025F937-C7B1-47D3-B67F-A62EFF666E3E}">
          <x14:id>{6F872558-4110-4594-AC44-409373414526}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88E8E4F-7568-4491-B6C0-3C87710A74FD}">
            <x14:dataBar minLength="0" maxLength="100" border="1">
              <x14:cfvo type="num">
                <xm:f>0</xm:f>
              </x14:cfvo>
              <x14:cfvo type="num">
                <xm:f>1</xm:f>
              </x14:cfvo>
              <x14:borderColor theme="8" tint="0.39997558519241921"/>
              <x14:negativeFillColor rgb="FFFF0000"/>
              <x14:axisColor rgb="FF000000"/>
            </x14:dataBar>
          </x14:cfRule>
          <xm:sqref>H44:N44 N6:N40</xm:sqref>
        </x14:conditionalFormatting>
        <x14:conditionalFormatting xmlns:xm="http://schemas.microsoft.com/office/excel/2006/main">
          <x14:cfRule type="dataBar" id="{94BFD9D2-EECA-43ED-805A-6F05F6E792B5}">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A2623CA6-6594-464A-8D4F-B4220D8275DC}">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D22370A-0FE9-4A50-8513-E4A01FF93116}">
            <x14:dataBar minLength="0" maxLength="100" gradient="0">
              <x14:cfvo type="num">
                <xm:f>0</xm:f>
              </x14:cfvo>
              <x14:cfvo type="num">
                <xm:f>1</xm:f>
              </x14:cfvo>
              <x14:negativeFillColor rgb="FFFF0000"/>
              <x14:axisColor rgb="FF000000"/>
            </x14:dataBar>
          </x14:cfRule>
          <xm:sqref>H8:I8 I9</xm:sqref>
        </x14:conditionalFormatting>
        <x14:conditionalFormatting xmlns:xm="http://schemas.microsoft.com/office/excel/2006/main">
          <x14:cfRule type="dataBar" id="{855A1AAD-3E02-4EA6-9A96-A4B51FB3DDD5}">
            <x14:dataBar minLength="0" maxLength="100" gradient="0">
              <x14:cfvo type="num">
                <xm:f>0</xm:f>
              </x14:cfvo>
              <x14:cfvo type="num">
                <xm:f>1</xm:f>
              </x14:cfvo>
              <x14:negativeFillColor rgb="FFFF0000"/>
              <x14:axisColor rgb="FF000000"/>
            </x14:dataBar>
          </x14:cfRule>
          <xm:sqref>M8:M25 M36:M37 M30:M33 M28</xm:sqref>
        </x14:conditionalFormatting>
        <x14:conditionalFormatting xmlns:xm="http://schemas.microsoft.com/office/excel/2006/main">
          <x14:cfRule type="dataBar" id="{41F6C0CC-23CA-41A7-AAD4-C881D5BC576E}">
            <x14:dataBar minLength="0" maxLength="100" gradient="0">
              <x14:cfvo type="num">
                <xm:f>0</xm:f>
              </x14:cfvo>
              <x14:cfvo type="num">
                <xm:f>1</xm:f>
              </x14:cfvo>
              <x14:negativeFillColor rgb="FFFF0000"/>
              <x14:axisColor rgb="FF000000"/>
            </x14:dataBar>
          </x14:cfRule>
          <xm:sqref>M7</xm:sqref>
        </x14:conditionalFormatting>
        <x14:conditionalFormatting xmlns:xm="http://schemas.microsoft.com/office/excel/2006/main">
          <x14:cfRule type="dataBar" id="{D979FA28-DC4B-4150-9F52-4FE265ABD7EF}">
            <x14:dataBar minLength="0" maxLength="100" gradient="0">
              <x14:cfvo type="num">
                <xm:f>0</xm:f>
              </x14:cfvo>
              <x14:cfvo type="num">
                <xm:f>1</xm:f>
              </x14:cfvo>
              <x14:negativeFillColor rgb="FFFF0000"/>
              <x14:axisColor rgb="FF000000"/>
            </x14:dataBar>
          </x14:cfRule>
          <xm:sqref>C9:C39</xm:sqref>
        </x14:conditionalFormatting>
        <x14:conditionalFormatting xmlns:xm="http://schemas.microsoft.com/office/excel/2006/main">
          <x14:cfRule type="dataBar" id="{331EBB79-188C-49E2-97D4-D7AFEFF81A0E}">
            <x14:dataBar minLength="0" maxLength="100" gradient="0">
              <x14:cfvo type="num">
                <xm:f>0</xm:f>
              </x14:cfvo>
              <x14:cfvo type="num">
                <xm:f>1</xm:f>
              </x14:cfvo>
              <x14:negativeFillColor rgb="FFFF0000"/>
              <x14:axisColor rgb="FF000000"/>
            </x14:dataBar>
          </x14:cfRule>
          <xm:sqref>H9:H39 I10:I39</xm:sqref>
        </x14:conditionalFormatting>
        <x14:conditionalFormatting xmlns:xm="http://schemas.microsoft.com/office/excel/2006/main">
          <x14:cfRule type="dataBar" id="{3824F8A6-C4E5-4E04-8641-D17DE456BD40}">
            <x14:dataBar minLength="0" maxLength="100" gradient="0">
              <x14:cfvo type="num">
                <xm:f>0</xm:f>
              </x14:cfvo>
              <x14:cfvo type="num">
                <xm:f>1</xm:f>
              </x14:cfvo>
              <x14:negativeFillColor rgb="FFFF0000"/>
              <x14:axisColor rgb="FF000000"/>
            </x14:dataBar>
          </x14:cfRule>
          <xm:sqref>H7:I7</xm:sqref>
        </x14:conditionalFormatting>
        <x14:conditionalFormatting xmlns:xm="http://schemas.microsoft.com/office/excel/2006/main">
          <x14:cfRule type="dataBar" id="{585E534B-8357-43AC-A3A1-8EA531772D0A}">
            <x14:dataBar minLength="0" maxLength="100" gradient="0">
              <x14:cfvo type="num">
                <xm:f>0</xm:f>
              </x14:cfvo>
              <x14:cfvo type="num">
                <xm:f>1</xm:f>
              </x14:cfvo>
              <x14:negativeFillColor rgb="FFFF0000"/>
              <x14:axisColor rgb="FF000000"/>
            </x14:dataBar>
          </x14:cfRule>
          <xm:sqref>M34:M35</xm:sqref>
        </x14:conditionalFormatting>
        <x14:conditionalFormatting xmlns:xm="http://schemas.microsoft.com/office/excel/2006/main">
          <x14:cfRule type="dataBar" id="{5A4ED07B-74F3-4B70-A64A-2924F7112162}">
            <x14:dataBar minLength="0" maxLength="100" gradient="0">
              <x14:cfvo type="num">
                <xm:f>0</xm:f>
              </x14:cfvo>
              <x14:cfvo type="num">
                <xm:f>1</xm:f>
              </x14:cfvo>
              <x14:negativeFillColor rgb="FFFF0000"/>
              <x14:axisColor rgb="FF000000"/>
            </x14:dataBar>
          </x14:cfRule>
          <xm:sqref>M26:M27</xm:sqref>
        </x14:conditionalFormatting>
        <x14:conditionalFormatting xmlns:xm="http://schemas.microsoft.com/office/excel/2006/main">
          <x14:cfRule type="dataBar" id="{5FE9F791-5600-4795-8A87-B2E445B7D832}">
            <x14:dataBar minLength="0" maxLength="100" gradient="0">
              <x14:cfvo type="num">
                <xm:f>0</xm:f>
              </x14:cfvo>
              <x14:cfvo type="num">
                <xm:f>1</xm:f>
              </x14:cfvo>
              <x14:negativeFillColor rgb="FFFF0000"/>
              <x14:axisColor rgb="FF000000"/>
            </x14:dataBar>
          </x14:cfRule>
          <xm:sqref>M29</xm:sqref>
        </x14:conditionalFormatting>
        <x14:conditionalFormatting xmlns:xm="http://schemas.microsoft.com/office/excel/2006/main">
          <x14:cfRule type="dataBar" id="{A36CB7F9-13D7-46A4-B2F4-2C4FB6B458C6}">
            <x14:dataBar minLength="0" maxLength="100" gradient="0">
              <x14:cfvo type="num">
                <xm:f>0</xm:f>
              </x14:cfvo>
              <x14:cfvo type="num">
                <xm:f>1</xm:f>
              </x14:cfvo>
              <x14:negativeFillColor rgb="FFFF0000"/>
              <x14:axisColor rgb="FF000000"/>
            </x14:dataBar>
          </x14:cfRule>
          <xm:sqref>J8</xm:sqref>
        </x14:conditionalFormatting>
        <x14:conditionalFormatting xmlns:xm="http://schemas.microsoft.com/office/excel/2006/main">
          <x14:cfRule type="dataBar" id="{D4CCFA6E-4F74-4777-A3E7-ECCD1413A463}">
            <x14:dataBar minLength="0" maxLength="100" gradient="0">
              <x14:cfvo type="num">
                <xm:f>0</xm:f>
              </x14:cfvo>
              <x14:cfvo type="num">
                <xm:f>1</xm:f>
              </x14:cfvo>
              <x14:negativeFillColor rgb="FFFF0000"/>
              <x14:axisColor rgb="FF000000"/>
            </x14:dataBar>
          </x14:cfRule>
          <xm:sqref>J9:J39</xm:sqref>
        </x14:conditionalFormatting>
        <x14:conditionalFormatting xmlns:xm="http://schemas.microsoft.com/office/excel/2006/main">
          <x14:cfRule type="dataBar" id="{170063C0-A3AC-4E71-BA4D-FD14DD9CB15C}">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DEAE39EB-CA9D-42C9-B84F-A6FA3600CFCF}">
            <x14:dataBar minLength="0" maxLength="100" gradient="0">
              <x14:cfvo type="num">
                <xm:f>0</xm:f>
              </x14:cfvo>
              <x14:cfvo type="num">
                <xm:f>1</xm:f>
              </x14:cfvo>
              <x14:negativeFillColor rgb="FFFF0000"/>
              <x14:axisColor rgb="FF000000"/>
            </x14:dataBar>
          </x14:cfRule>
          <xm:sqref>B8</xm:sqref>
        </x14:conditionalFormatting>
        <x14:conditionalFormatting xmlns:xm="http://schemas.microsoft.com/office/excel/2006/main">
          <x14:cfRule type="dataBar" id="{634D0B7D-8E87-4F8D-B53D-CF79DA51DF5B}">
            <x14:dataBar minLength="0" maxLength="100" gradient="0">
              <x14:cfvo type="num">
                <xm:f>0</xm:f>
              </x14:cfvo>
              <x14:cfvo type="num">
                <xm:f>1</xm:f>
              </x14:cfvo>
              <x14:negativeFillColor rgb="FFFF0000"/>
              <x14:axisColor rgb="FF000000"/>
            </x14:dataBar>
          </x14:cfRule>
          <xm:sqref>M38:M39</xm:sqref>
        </x14:conditionalFormatting>
        <x14:conditionalFormatting xmlns:xm="http://schemas.microsoft.com/office/excel/2006/main">
          <x14:cfRule type="dataBar" id="{613025F0-F96D-4538-A56D-DC8F7C4853D4}">
            <x14:dataBar minLength="0" maxLength="100" gradient="0">
              <x14:cfvo type="num">
                <xm:f>0</xm:f>
              </x14:cfvo>
              <x14:cfvo type="num">
                <xm:f>1</xm:f>
              </x14:cfvo>
              <x14:negativeFillColor rgb="FFFF0000"/>
              <x14:axisColor rgb="FF000000"/>
            </x14:dataBar>
          </x14:cfRule>
          <xm:sqref>J40:J43</xm:sqref>
        </x14:conditionalFormatting>
        <x14:conditionalFormatting xmlns:xm="http://schemas.microsoft.com/office/excel/2006/main">
          <x14:cfRule type="dataBar" id="{09934E42-546A-4EC5-94C5-F8D4986DBC7C}">
            <x14:dataBar minLength="0" maxLength="100" gradient="0">
              <x14:cfvo type="num">
                <xm:f>0</xm:f>
              </x14:cfvo>
              <x14:cfvo type="num">
                <xm:f>1</xm:f>
              </x14:cfvo>
              <x14:negativeFillColor rgb="FFFF0000"/>
              <x14:axisColor rgb="FF000000"/>
            </x14:dataBar>
          </x14:cfRule>
          <xm:sqref>M42:M43</xm:sqref>
        </x14:conditionalFormatting>
        <x14:conditionalFormatting xmlns:xm="http://schemas.microsoft.com/office/excel/2006/main">
          <x14:cfRule type="dataBar" id="{A69B4A2A-F735-4551-9EC4-1577987FA1B3}">
            <x14:dataBar minLength="0" maxLength="100" gradient="0">
              <x14:cfvo type="num">
                <xm:f>0</xm:f>
              </x14:cfvo>
              <x14:cfvo type="num">
                <xm:f>1</xm:f>
              </x14:cfvo>
              <x14:negativeFillColor rgb="FFFF0000"/>
              <x14:axisColor rgb="FF000000"/>
            </x14:dataBar>
          </x14:cfRule>
          <xm:sqref>M40:M41</xm:sqref>
        </x14:conditionalFormatting>
        <x14:conditionalFormatting xmlns:xm="http://schemas.microsoft.com/office/excel/2006/main">
          <x14:cfRule type="dataBar" id="{FC062A69-E918-4D59-8653-AAC2193EA1FF}">
            <x14:dataBar minLength="0" maxLength="100" gradient="0">
              <x14:cfvo type="num">
                <xm:f>0</xm:f>
              </x14:cfvo>
              <x14:cfvo type="num">
                <xm:f>1</xm:f>
              </x14:cfvo>
              <x14:negativeFillColor rgb="FFFF0000"/>
              <x14:axisColor rgb="FF000000"/>
            </x14:dataBar>
          </x14:cfRule>
          <xm:sqref>C40:C43</xm:sqref>
        </x14:conditionalFormatting>
        <x14:conditionalFormatting xmlns:xm="http://schemas.microsoft.com/office/excel/2006/main">
          <x14:cfRule type="dataBar" id="{95721FBC-1079-4173-94D0-E864B50A48FE}">
            <x14:dataBar minLength="0" maxLength="100" gradient="0">
              <x14:cfvo type="num">
                <xm:f>0</xm:f>
              </x14:cfvo>
              <x14:cfvo type="num">
                <xm:f>1</xm:f>
              </x14:cfvo>
              <x14:negativeFillColor rgb="FFFF0000"/>
              <x14:axisColor rgb="FF000000"/>
            </x14:dataBar>
          </x14:cfRule>
          <xm:sqref>H40:I43</xm:sqref>
        </x14:conditionalFormatting>
        <x14:conditionalFormatting xmlns:xm="http://schemas.microsoft.com/office/excel/2006/main">
          <x14:cfRule type="dataBar" id="{6F872558-4110-4594-AC44-409373414526}">
            <x14:dataBar minLength="0" maxLength="100" border="1">
              <x14:cfvo type="num">
                <xm:f>0</xm:f>
              </x14:cfvo>
              <x14:cfvo type="num">
                <xm:f>1</xm:f>
              </x14:cfvo>
              <x14:borderColor theme="8" tint="0.39997558519241921"/>
              <x14:negativeFillColor rgb="FFFF0000"/>
              <x14:axisColor rgb="FF000000"/>
            </x14:dataBar>
          </x14:cfRule>
          <xm:sqref>H6:M6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K53"/>
  <sheetViews>
    <sheetView zoomScale="75" zoomScaleNormal="75" workbookViewId="0"/>
  </sheetViews>
  <sheetFormatPr defaultRowHeight="15" x14ac:dyDescent="0.25"/>
  <cols>
    <col min="1" max="1" width="27.42578125" customWidth="1"/>
    <col min="2" max="7" width="24.28515625" customWidth="1"/>
  </cols>
  <sheetData>
    <row r="1" spans="1:37" ht="21" x14ac:dyDescent="0.35">
      <c r="A1" s="162" t="s">
        <v>308</v>
      </c>
      <c r="B1" s="85"/>
      <c r="C1" s="85"/>
      <c r="D1" s="85"/>
      <c r="E1" s="85"/>
      <c r="F1" s="85"/>
      <c r="G1" s="85"/>
      <c r="H1" s="30"/>
      <c r="I1" s="30"/>
      <c r="J1" s="30"/>
      <c r="K1" s="27"/>
      <c r="L1" s="27"/>
      <c r="M1" s="27"/>
      <c r="N1" s="27"/>
      <c r="O1" s="27"/>
      <c r="P1" s="27"/>
      <c r="Q1" s="27"/>
      <c r="R1" s="88"/>
      <c r="S1" s="88"/>
      <c r="T1" s="88"/>
      <c r="U1" s="88"/>
      <c r="V1" s="88"/>
      <c r="W1" s="14"/>
      <c r="X1" s="14"/>
      <c r="Y1" s="14"/>
      <c r="Z1" s="14"/>
      <c r="AA1" s="14"/>
      <c r="AB1" s="14"/>
      <c r="AC1" s="14"/>
      <c r="AD1" s="14"/>
      <c r="AE1" s="14"/>
      <c r="AF1" s="14"/>
      <c r="AG1" s="22"/>
      <c r="AH1" s="22"/>
      <c r="AI1" s="22"/>
      <c r="AJ1" s="22"/>
      <c r="AK1" s="22"/>
    </row>
    <row r="2" spans="1:37" ht="15.75" x14ac:dyDescent="0.25">
      <c r="A2" s="81" t="s">
        <v>311</v>
      </c>
      <c r="B2" s="63"/>
      <c r="C2" s="63"/>
      <c r="D2" s="63"/>
      <c r="E2" s="63"/>
      <c r="F2" s="63"/>
      <c r="G2" s="63"/>
      <c r="H2" s="30"/>
      <c r="I2" s="30"/>
      <c r="J2" s="30"/>
      <c r="K2" s="70"/>
      <c r="L2" s="70"/>
      <c r="M2" s="70"/>
      <c r="N2" s="70"/>
      <c r="O2" s="27"/>
      <c r="P2" s="27"/>
      <c r="Q2" s="27"/>
      <c r="R2" s="88"/>
      <c r="S2" s="88"/>
      <c r="T2" s="88"/>
      <c r="U2" s="88"/>
      <c r="V2" s="88"/>
      <c r="W2" s="14"/>
      <c r="X2" s="14"/>
      <c r="Y2" s="14"/>
      <c r="Z2" s="14"/>
      <c r="AA2" s="14"/>
      <c r="AB2" s="14"/>
      <c r="AC2" s="14"/>
      <c r="AD2" s="14"/>
      <c r="AE2" s="14"/>
      <c r="AF2" s="14"/>
      <c r="AG2" s="22"/>
      <c r="AH2" s="22"/>
      <c r="AI2" s="22"/>
      <c r="AJ2" s="22"/>
      <c r="AK2" s="22"/>
    </row>
    <row r="3" spans="1:37" s="198" customFormat="1" ht="15.95" customHeight="1" x14ac:dyDescent="0.35">
      <c r="A3" s="222" t="s">
        <v>745</v>
      </c>
      <c r="B3" s="223"/>
      <c r="C3" s="223"/>
      <c r="D3" s="223"/>
      <c r="E3" s="223"/>
      <c r="F3" s="223"/>
      <c r="G3" s="223"/>
      <c r="H3" s="224"/>
      <c r="I3" s="224"/>
      <c r="J3" s="224"/>
      <c r="K3" s="224"/>
    </row>
    <row r="4" spans="1:37" s="198" customFormat="1" ht="15.95" customHeight="1" x14ac:dyDescent="0.35">
      <c r="A4" s="222" t="s">
        <v>746</v>
      </c>
      <c r="B4" s="223"/>
      <c r="C4" s="223"/>
      <c r="D4" s="223"/>
      <c r="E4" s="223"/>
      <c r="F4" s="223"/>
      <c r="G4" s="223"/>
      <c r="H4" s="224"/>
      <c r="I4" s="224"/>
      <c r="J4" s="224"/>
      <c r="K4" s="224"/>
    </row>
    <row r="5" spans="1:37" ht="15.75" x14ac:dyDescent="0.25">
      <c r="A5" s="26" t="s">
        <v>749</v>
      </c>
      <c r="B5" s="63"/>
      <c r="C5" s="63"/>
      <c r="D5" s="63"/>
      <c r="E5" s="63"/>
      <c r="F5" s="63"/>
      <c r="G5" s="63"/>
      <c r="H5" s="30"/>
      <c r="I5" s="30"/>
      <c r="J5" s="30"/>
      <c r="K5" s="70"/>
      <c r="L5" s="70"/>
      <c r="M5" s="70"/>
      <c r="N5" s="70"/>
      <c r="O5" s="27"/>
      <c r="P5" s="27"/>
      <c r="Q5" s="27"/>
      <c r="R5" s="88"/>
      <c r="S5" s="88"/>
      <c r="T5" s="88"/>
      <c r="U5" s="88"/>
      <c r="V5" s="88"/>
      <c r="W5" s="14"/>
      <c r="X5" s="14"/>
      <c r="Y5" s="14"/>
      <c r="Z5" s="14"/>
      <c r="AA5" s="14"/>
      <c r="AB5" s="14"/>
      <c r="AC5" s="14"/>
      <c r="AD5" s="14"/>
      <c r="AE5" s="14"/>
      <c r="AF5" s="14"/>
      <c r="AG5" s="22"/>
      <c r="AH5" s="22"/>
      <c r="AI5" s="22"/>
      <c r="AJ5" s="22"/>
      <c r="AK5" s="22"/>
    </row>
    <row r="6" spans="1:37" ht="63" x14ac:dyDescent="0.25">
      <c r="A6" s="38" t="s">
        <v>13</v>
      </c>
      <c r="B6" s="32" t="s">
        <v>671</v>
      </c>
      <c r="C6" s="32" t="s">
        <v>673</v>
      </c>
      <c r="D6" s="32" t="s">
        <v>790</v>
      </c>
      <c r="E6" s="32" t="s">
        <v>674</v>
      </c>
      <c r="F6" s="32" t="s">
        <v>675</v>
      </c>
      <c r="G6" s="32" t="s">
        <v>676</v>
      </c>
      <c r="H6" s="68"/>
      <c r="I6" s="27"/>
      <c r="J6" s="27"/>
      <c r="K6" s="27"/>
      <c r="L6" s="27"/>
      <c r="M6" s="27"/>
      <c r="N6" s="27"/>
      <c r="O6" s="88"/>
      <c r="P6" s="88"/>
      <c r="Q6" s="88"/>
      <c r="R6" s="88"/>
      <c r="S6" s="88"/>
      <c r="T6" s="88"/>
      <c r="U6" s="88"/>
      <c r="V6" s="88"/>
      <c r="W6" s="14"/>
      <c r="X6" s="14"/>
      <c r="Y6" s="14"/>
      <c r="Z6" s="14"/>
      <c r="AA6" s="14"/>
      <c r="AB6" s="14"/>
      <c r="AC6" s="14"/>
      <c r="AD6" s="22"/>
      <c r="AE6" s="22"/>
    </row>
    <row r="7" spans="1:37" ht="15.75" x14ac:dyDescent="0.25">
      <c r="A7" s="34" t="s">
        <v>6</v>
      </c>
      <c r="B7" s="163">
        <v>115</v>
      </c>
      <c r="C7" s="163">
        <v>85</v>
      </c>
      <c r="D7" s="163">
        <v>5</v>
      </c>
      <c r="E7" s="163">
        <v>85</v>
      </c>
      <c r="F7" s="164" t="s">
        <v>449</v>
      </c>
      <c r="G7" s="164" t="s">
        <v>449</v>
      </c>
      <c r="H7" s="27"/>
      <c r="I7" s="27"/>
      <c r="J7" s="27"/>
      <c r="K7" s="27"/>
      <c r="L7" s="27"/>
      <c r="M7" s="27"/>
      <c r="N7" s="27"/>
      <c r="O7" s="88"/>
      <c r="P7" s="88"/>
      <c r="Q7" s="88"/>
      <c r="R7" s="88"/>
      <c r="S7" s="88"/>
      <c r="T7" s="88"/>
      <c r="U7" s="88"/>
      <c r="V7" s="88"/>
      <c r="W7" s="14"/>
      <c r="X7" s="14"/>
      <c r="Y7" s="14"/>
      <c r="Z7" s="14"/>
      <c r="AA7" s="14"/>
      <c r="AB7" s="14"/>
      <c r="AC7" s="14"/>
      <c r="AD7" s="22"/>
      <c r="AE7" s="22"/>
    </row>
    <row r="8" spans="1:37" ht="15.75" x14ac:dyDescent="0.25">
      <c r="A8" s="183" t="s">
        <v>259</v>
      </c>
      <c r="B8" s="134">
        <v>0</v>
      </c>
      <c r="C8" s="134">
        <v>0</v>
      </c>
      <c r="D8" s="134" t="s">
        <v>781</v>
      </c>
      <c r="E8" s="134" t="s">
        <v>781</v>
      </c>
      <c r="F8" s="111" t="s">
        <v>781</v>
      </c>
      <c r="G8" s="111" t="s">
        <v>781</v>
      </c>
      <c r="H8" s="27"/>
      <c r="I8" s="27"/>
      <c r="J8" s="27"/>
      <c r="K8" s="27"/>
      <c r="L8" s="27"/>
      <c r="M8" s="27"/>
      <c r="N8" s="27"/>
      <c r="O8" s="88"/>
      <c r="P8" s="88"/>
      <c r="Q8" s="88"/>
      <c r="R8" s="88"/>
      <c r="S8" s="88"/>
      <c r="T8" s="88"/>
      <c r="U8" s="88"/>
      <c r="V8" s="88"/>
      <c r="W8" s="14"/>
      <c r="X8" s="14"/>
      <c r="Y8" s="14"/>
      <c r="Z8" s="14"/>
      <c r="AA8" s="14"/>
      <c r="AB8" s="14"/>
      <c r="AC8" s="14"/>
      <c r="AD8" s="22"/>
      <c r="AE8" s="22"/>
    </row>
    <row r="9" spans="1:37" ht="15.75" x14ac:dyDescent="0.25">
      <c r="A9" s="183" t="s">
        <v>260</v>
      </c>
      <c r="B9" s="134">
        <v>0</v>
      </c>
      <c r="C9" s="134">
        <v>0</v>
      </c>
      <c r="D9" s="134" t="s">
        <v>781</v>
      </c>
      <c r="E9" s="134" t="s">
        <v>781</v>
      </c>
      <c r="F9" s="111" t="s">
        <v>781</v>
      </c>
      <c r="G9" s="111" t="s">
        <v>781</v>
      </c>
      <c r="H9" s="27"/>
      <c r="I9" s="27"/>
      <c r="J9" s="27"/>
      <c r="K9" s="27"/>
      <c r="L9" s="27"/>
      <c r="M9" s="27"/>
      <c r="N9" s="27"/>
      <c r="O9" s="88"/>
      <c r="P9" s="88"/>
      <c r="Q9" s="88"/>
      <c r="R9" s="88"/>
      <c r="S9" s="88"/>
      <c r="T9" s="88"/>
      <c r="U9" s="88"/>
      <c r="V9" s="88"/>
      <c r="W9" s="14"/>
      <c r="X9" s="14"/>
      <c r="Y9" s="14"/>
      <c r="Z9" s="14"/>
      <c r="AA9" s="14"/>
      <c r="AB9" s="14"/>
      <c r="AC9" s="14"/>
      <c r="AD9" s="22"/>
      <c r="AE9" s="22"/>
    </row>
    <row r="10" spans="1:37" ht="15.75" x14ac:dyDescent="0.25">
      <c r="A10" s="183" t="s">
        <v>261</v>
      </c>
      <c r="B10" s="134" t="s">
        <v>449</v>
      </c>
      <c r="C10" s="134">
        <v>0</v>
      </c>
      <c r="D10" s="134" t="s">
        <v>781</v>
      </c>
      <c r="E10" s="134" t="s">
        <v>781</v>
      </c>
      <c r="F10" s="111" t="s">
        <v>781</v>
      </c>
      <c r="G10" s="111" t="s">
        <v>781</v>
      </c>
      <c r="H10" s="27"/>
      <c r="I10" s="27"/>
      <c r="J10" s="27"/>
      <c r="K10" s="27"/>
      <c r="L10" s="27"/>
      <c r="M10" s="27"/>
      <c r="N10" s="27"/>
      <c r="O10" s="88"/>
      <c r="P10" s="88"/>
      <c r="Q10" s="88"/>
      <c r="R10" s="88"/>
      <c r="S10" s="88"/>
      <c r="T10" s="88"/>
      <c r="U10" s="88"/>
      <c r="V10" s="88"/>
      <c r="W10" s="14"/>
      <c r="X10" s="14"/>
      <c r="Y10" s="14"/>
      <c r="Z10" s="14"/>
      <c r="AA10" s="14"/>
      <c r="AB10" s="14"/>
      <c r="AC10" s="14"/>
      <c r="AD10" s="22"/>
      <c r="AE10" s="22"/>
    </row>
    <row r="11" spans="1:37" ht="15.75" x14ac:dyDescent="0.25">
      <c r="A11" s="183" t="s">
        <v>264</v>
      </c>
      <c r="B11" s="134">
        <v>5</v>
      </c>
      <c r="C11" s="134">
        <v>0</v>
      </c>
      <c r="D11" s="134" t="s">
        <v>781</v>
      </c>
      <c r="E11" s="134" t="s">
        <v>781</v>
      </c>
      <c r="F11" s="111" t="s">
        <v>781</v>
      </c>
      <c r="G11" s="111" t="s">
        <v>781</v>
      </c>
      <c r="H11" s="27"/>
      <c r="I11" s="27"/>
      <c r="J11" s="27"/>
      <c r="K11" s="27"/>
      <c r="L11" s="27"/>
      <c r="M11" s="27"/>
      <c r="N11" s="27"/>
      <c r="O11" s="88"/>
      <c r="P11" s="88"/>
      <c r="Q11" s="88"/>
      <c r="R11" s="88"/>
      <c r="S11" s="88"/>
      <c r="T11" s="88"/>
      <c r="U11" s="88"/>
      <c r="V11" s="88"/>
      <c r="W11" s="14"/>
      <c r="X11" s="14"/>
      <c r="Y11" s="14"/>
      <c r="Z11" s="14"/>
      <c r="AA11" s="14"/>
      <c r="AB11" s="14"/>
      <c r="AC11" s="14"/>
      <c r="AD11" s="22"/>
      <c r="AE11" s="22"/>
    </row>
    <row r="12" spans="1:37" ht="15.75" x14ac:dyDescent="0.25">
      <c r="A12" s="183" t="s">
        <v>265</v>
      </c>
      <c r="B12" s="134">
        <v>10</v>
      </c>
      <c r="C12" s="134">
        <v>0</v>
      </c>
      <c r="D12" s="134" t="s">
        <v>781</v>
      </c>
      <c r="E12" s="134" t="s">
        <v>781</v>
      </c>
      <c r="F12" s="111" t="s">
        <v>781</v>
      </c>
      <c r="G12" s="111" t="s">
        <v>781</v>
      </c>
      <c r="H12" s="27"/>
      <c r="I12" s="27"/>
      <c r="J12" s="27"/>
      <c r="K12" s="27"/>
      <c r="L12" s="27"/>
      <c r="M12" s="27"/>
      <c r="N12" s="27"/>
      <c r="O12" s="88"/>
      <c r="P12" s="88"/>
      <c r="Q12" s="88"/>
      <c r="R12" s="88"/>
      <c r="S12" s="88"/>
      <c r="T12" s="88"/>
      <c r="U12" s="88"/>
      <c r="V12" s="88"/>
      <c r="W12" s="14"/>
      <c r="X12" s="14"/>
      <c r="Y12" s="14"/>
      <c r="Z12" s="14"/>
      <c r="AA12" s="14"/>
      <c r="AB12" s="14"/>
      <c r="AC12" s="14"/>
      <c r="AD12" s="22"/>
      <c r="AE12" s="22"/>
    </row>
    <row r="13" spans="1:37" ht="15.75" x14ac:dyDescent="0.25">
      <c r="A13" s="183" t="s">
        <v>266</v>
      </c>
      <c r="B13" s="134" t="s">
        <v>449</v>
      </c>
      <c r="C13" s="134">
        <v>5</v>
      </c>
      <c r="D13" s="134">
        <v>0</v>
      </c>
      <c r="E13" s="134">
        <v>5</v>
      </c>
      <c r="F13" s="111">
        <v>0</v>
      </c>
      <c r="G13" s="111">
        <v>1</v>
      </c>
      <c r="H13" s="27"/>
      <c r="I13" s="27"/>
      <c r="J13" s="27"/>
      <c r="K13" s="27"/>
      <c r="L13" s="27"/>
      <c r="M13" s="27"/>
      <c r="N13" s="27"/>
      <c r="O13" s="27"/>
      <c r="P13" s="27"/>
      <c r="Q13" s="27"/>
      <c r="R13" s="27"/>
      <c r="S13" s="27"/>
      <c r="T13" s="27"/>
      <c r="U13" s="27"/>
      <c r="V13" s="27"/>
      <c r="W13" s="22"/>
      <c r="X13" s="22"/>
      <c r="Y13" s="22"/>
      <c r="Z13" s="22"/>
      <c r="AA13" s="22"/>
      <c r="AB13" s="22"/>
      <c r="AC13" s="22"/>
      <c r="AD13" s="22"/>
      <c r="AE13" s="22"/>
    </row>
    <row r="14" spans="1:37" ht="15.75" x14ac:dyDescent="0.25">
      <c r="A14" s="183" t="s">
        <v>267</v>
      </c>
      <c r="B14" s="134">
        <v>10</v>
      </c>
      <c r="C14" s="134">
        <v>5</v>
      </c>
      <c r="D14" s="134">
        <v>0</v>
      </c>
      <c r="E14" s="134">
        <v>5</v>
      </c>
      <c r="F14" s="111">
        <v>0</v>
      </c>
      <c r="G14" s="111">
        <v>1</v>
      </c>
      <c r="H14" s="27"/>
      <c r="I14" s="27"/>
      <c r="J14" s="27"/>
      <c r="K14" s="27"/>
      <c r="L14" s="27"/>
      <c r="M14" s="27"/>
      <c r="N14" s="27"/>
      <c r="O14" s="27"/>
      <c r="P14" s="27"/>
      <c r="Q14" s="27"/>
      <c r="R14" s="27"/>
      <c r="S14" s="27"/>
      <c r="T14" s="27"/>
      <c r="U14" s="27"/>
      <c r="V14" s="27"/>
      <c r="W14" s="22"/>
      <c r="X14" s="22"/>
      <c r="Y14" s="22"/>
      <c r="Z14" s="22"/>
      <c r="AA14" s="22"/>
      <c r="AB14" s="22"/>
      <c r="AC14" s="22"/>
      <c r="AD14" s="22"/>
      <c r="AE14" s="22"/>
    </row>
    <row r="15" spans="1:37" ht="15.75" x14ac:dyDescent="0.25">
      <c r="A15" s="183" t="s">
        <v>268</v>
      </c>
      <c r="B15" s="134">
        <v>15</v>
      </c>
      <c r="C15" s="134" t="s">
        <v>449</v>
      </c>
      <c r="D15" s="134">
        <v>0</v>
      </c>
      <c r="E15" s="134" t="s">
        <v>449</v>
      </c>
      <c r="F15" s="111">
        <v>0</v>
      </c>
      <c r="G15" s="111">
        <v>1</v>
      </c>
      <c r="H15" s="27"/>
      <c r="I15" s="27"/>
      <c r="J15" s="27"/>
      <c r="K15" s="27"/>
      <c r="L15" s="27"/>
      <c r="M15" s="27"/>
      <c r="N15" s="27"/>
      <c r="O15" s="27"/>
      <c r="P15" s="27"/>
      <c r="Q15" s="27"/>
      <c r="R15" s="27"/>
      <c r="S15" s="27"/>
      <c r="T15" s="27"/>
      <c r="U15" s="27"/>
      <c r="V15" s="27"/>
      <c r="W15" s="22"/>
      <c r="X15" s="22"/>
      <c r="Y15" s="22"/>
      <c r="Z15" s="22"/>
      <c r="AA15" s="22"/>
      <c r="AB15" s="22"/>
      <c r="AC15" s="22"/>
      <c r="AD15" s="22"/>
      <c r="AE15" s="22"/>
    </row>
    <row r="16" spans="1:37" ht="15.75" x14ac:dyDescent="0.25">
      <c r="A16" s="183" t="s">
        <v>269</v>
      </c>
      <c r="B16" s="134">
        <v>15</v>
      </c>
      <c r="C16" s="134">
        <v>5</v>
      </c>
      <c r="D16" s="134">
        <v>0</v>
      </c>
      <c r="E16" s="134">
        <v>5</v>
      </c>
      <c r="F16" s="111">
        <v>0</v>
      </c>
      <c r="G16" s="111">
        <v>1</v>
      </c>
      <c r="H16" s="27"/>
      <c r="I16" s="27"/>
      <c r="J16" s="27"/>
      <c r="K16" s="27"/>
      <c r="L16" s="27"/>
      <c r="M16" s="27"/>
      <c r="N16" s="27"/>
      <c r="O16" s="27"/>
      <c r="P16" s="27"/>
      <c r="Q16" s="27"/>
      <c r="R16" s="27"/>
      <c r="S16" s="27"/>
      <c r="T16" s="27"/>
      <c r="U16" s="27"/>
      <c r="V16" s="27"/>
      <c r="W16" s="22"/>
      <c r="X16" s="22"/>
      <c r="Y16" s="22"/>
      <c r="Z16" s="22"/>
      <c r="AA16" s="22"/>
      <c r="AB16" s="22"/>
      <c r="AC16" s="22"/>
      <c r="AD16" s="22"/>
      <c r="AE16" s="22"/>
    </row>
    <row r="17" spans="1:31" ht="15.75" x14ac:dyDescent="0.25">
      <c r="A17" s="183" t="s">
        <v>270</v>
      </c>
      <c r="B17" s="134">
        <v>5</v>
      </c>
      <c r="C17" s="134">
        <v>5</v>
      </c>
      <c r="D17" s="134">
        <v>0</v>
      </c>
      <c r="E17" s="134">
        <v>5</v>
      </c>
      <c r="F17" s="111">
        <v>0</v>
      </c>
      <c r="G17" s="111">
        <v>1</v>
      </c>
      <c r="H17" s="27"/>
      <c r="I17" s="27"/>
      <c r="J17" s="27"/>
      <c r="K17" s="27"/>
      <c r="L17" s="27"/>
      <c r="M17" s="27"/>
      <c r="N17" s="27"/>
      <c r="O17" s="27"/>
      <c r="P17" s="27"/>
      <c r="Q17" s="27"/>
      <c r="R17" s="27"/>
      <c r="S17" s="27"/>
      <c r="T17" s="27"/>
      <c r="U17" s="27"/>
      <c r="V17" s="27"/>
      <c r="W17" s="22"/>
      <c r="X17" s="22"/>
      <c r="Y17" s="22"/>
      <c r="Z17" s="22"/>
      <c r="AA17" s="22"/>
      <c r="AB17" s="22"/>
      <c r="AC17" s="22"/>
      <c r="AD17" s="22"/>
      <c r="AE17" s="22"/>
    </row>
    <row r="18" spans="1:31" ht="15.75" x14ac:dyDescent="0.25">
      <c r="A18" s="183" t="s">
        <v>271</v>
      </c>
      <c r="B18" s="134">
        <v>5</v>
      </c>
      <c r="C18" s="134">
        <v>20</v>
      </c>
      <c r="D18" s="134">
        <v>0</v>
      </c>
      <c r="E18" s="134">
        <v>20</v>
      </c>
      <c r="F18" s="111">
        <v>0</v>
      </c>
      <c r="G18" s="111">
        <v>1</v>
      </c>
      <c r="H18" s="27"/>
      <c r="I18" s="27"/>
      <c r="J18" s="27"/>
      <c r="K18" s="27"/>
      <c r="L18" s="27"/>
      <c r="M18" s="27"/>
      <c r="N18" s="27"/>
      <c r="O18" s="27"/>
      <c r="P18" s="27"/>
      <c r="Q18" s="27"/>
      <c r="R18" s="27"/>
      <c r="S18" s="27"/>
      <c r="T18" s="27"/>
      <c r="U18" s="27"/>
      <c r="V18" s="27"/>
      <c r="W18" s="22"/>
      <c r="X18" s="22"/>
      <c r="Y18" s="22"/>
      <c r="Z18" s="22"/>
      <c r="AA18" s="22"/>
      <c r="AB18" s="22"/>
      <c r="AC18" s="22"/>
      <c r="AD18" s="22"/>
      <c r="AE18" s="22"/>
    </row>
    <row r="19" spans="1:31" ht="15.75" x14ac:dyDescent="0.25">
      <c r="A19" s="183" t="s">
        <v>272</v>
      </c>
      <c r="B19" s="134" t="s">
        <v>449</v>
      </c>
      <c r="C19" s="134">
        <v>5</v>
      </c>
      <c r="D19" s="134">
        <v>0</v>
      </c>
      <c r="E19" s="134">
        <v>5</v>
      </c>
      <c r="F19" s="111">
        <v>0</v>
      </c>
      <c r="G19" s="111">
        <v>1</v>
      </c>
      <c r="H19" s="27"/>
      <c r="I19" s="27"/>
      <c r="J19" s="27"/>
      <c r="K19" s="27"/>
      <c r="L19" s="27"/>
      <c r="M19" s="27"/>
      <c r="N19" s="27"/>
      <c r="O19" s="27"/>
      <c r="P19" s="27"/>
      <c r="Q19" s="27"/>
      <c r="R19" s="27"/>
      <c r="S19" s="27"/>
      <c r="T19" s="27"/>
      <c r="U19" s="27"/>
      <c r="V19" s="27"/>
      <c r="W19" s="22"/>
      <c r="X19" s="22"/>
      <c r="Y19" s="22"/>
      <c r="Z19" s="22"/>
      <c r="AA19" s="22"/>
      <c r="AB19" s="22"/>
      <c r="AC19" s="22"/>
      <c r="AD19" s="22"/>
      <c r="AE19" s="22"/>
    </row>
    <row r="20" spans="1:31" ht="15.75" x14ac:dyDescent="0.25">
      <c r="A20" s="183" t="s">
        <v>273</v>
      </c>
      <c r="B20" s="134">
        <v>5</v>
      </c>
      <c r="C20" s="134">
        <v>5</v>
      </c>
      <c r="D20" s="134">
        <v>0</v>
      </c>
      <c r="E20" s="134">
        <v>5</v>
      </c>
      <c r="F20" s="111">
        <v>0</v>
      </c>
      <c r="G20" s="111">
        <v>1</v>
      </c>
      <c r="H20" s="27"/>
      <c r="I20" s="27"/>
      <c r="J20" s="27"/>
      <c r="K20" s="27"/>
      <c r="L20" s="27"/>
      <c r="M20" s="27"/>
      <c r="N20" s="27"/>
      <c r="O20" s="27"/>
      <c r="P20" s="27"/>
      <c r="Q20" s="27"/>
      <c r="R20" s="27"/>
      <c r="S20" s="27"/>
      <c r="T20" s="27"/>
      <c r="U20" s="27"/>
      <c r="V20" s="27"/>
      <c r="W20" s="22"/>
      <c r="X20" s="22"/>
      <c r="Y20" s="22"/>
      <c r="Z20" s="22"/>
      <c r="AA20" s="22"/>
      <c r="AB20" s="22"/>
      <c r="AC20" s="22"/>
      <c r="AD20" s="22"/>
      <c r="AE20" s="22"/>
    </row>
    <row r="21" spans="1:31" ht="15.75" x14ac:dyDescent="0.25">
      <c r="A21" s="184" t="s">
        <v>274</v>
      </c>
      <c r="B21" s="134">
        <v>0</v>
      </c>
      <c r="C21" s="134" t="s">
        <v>449</v>
      </c>
      <c r="D21" s="134">
        <v>0</v>
      </c>
      <c r="E21" s="134" t="s">
        <v>449</v>
      </c>
      <c r="F21" s="111">
        <v>0</v>
      </c>
      <c r="G21" s="111">
        <v>1</v>
      </c>
      <c r="H21" s="27"/>
      <c r="I21" s="27"/>
      <c r="J21" s="27"/>
      <c r="K21" s="27"/>
      <c r="L21" s="27"/>
      <c r="M21" s="27"/>
      <c r="N21" s="27"/>
      <c r="O21" s="27"/>
      <c r="P21" s="27"/>
      <c r="Q21" s="27"/>
      <c r="R21" s="27"/>
      <c r="S21" s="27"/>
      <c r="T21" s="27"/>
      <c r="U21" s="27"/>
      <c r="V21" s="27"/>
      <c r="W21" s="22"/>
      <c r="X21" s="22"/>
      <c r="Y21" s="22"/>
      <c r="Z21" s="22"/>
      <c r="AA21" s="22"/>
      <c r="AB21" s="22"/>
      <c r="AC21" s="22"/>
      <c r="AD21" s="22"/>
      <c r="AE21" s="22"/>
    </row>
    <row r="22" spans="1:31" ht="15.75" x14ac:dyDescent="0.25">
      <c r="A22" s="184" t="s">
        <v>262</v>
      </c>
      <c r="B22" s="134">
        <v>0</v>
      </c>
      <c r="C22" s="134" t="s">
        <v>449</v>
      </c>
      <c r="D22" s="134">
        <v>0</v>
      </c>
      <c r="E22" s="134" t="s">
        <v>449</v>
      </c>
      <c r="F22" s="111">
        <v>0</v>
      </c>
      <c r="G22" s="111">
        <v>1</v>
      </c>
      <c r="H22" s="27"/>
      <c r="I22" s="27"/>
      <c r="J22" s="27"/>
      <c r="K22" s="27"/>
      <c r="L22" s="27"/>
      <c r="M22" s="27"/>
      <c r="N22" s="27"/>
      <c r="O22" s="27"/>
      <c r="P22" s="27"/>
      <c r="Q22" s="27"/>
      <c r="R22" s="27"/>
      <c r="S22" s="27"/>
      <c r="T22" s="27"/>
      <c r="U22" s="27"/>
      <c r="V22" s="27"/>
      <c r="W22" s="22"/>
      <c r="X22" s="22"/>
      <c r="Y22" s="22"/>
      <c r="Z22" s="22"/>
      <c r="AA22" s="22"/>
      <c r="AB22" s="22"/>
      <c r="AC22" s="22"/>
      <c r="AD22" s="22"/>
      <c r="AE22" s="22"/>
    </row>
    <row r="23" spans="1:31" ht="15.75" x14ac:dyDescent="0.25">
      <c r="A23" s="184" t="s">
        <v>275</v>
      </c>
      <c r="B23" s="134" t="s">
        <v>449</v>
      </c>
      <c r="C23" s="134">
        <v>5</v>
      </c>
      <c r="D23" s="134">
        <v>0</v>
      </c>
      <c r="E23" s="134">
        <v>5</v>
      </c>
      <c r="F23" s="111">
        <v>0</v>
      </c>
      <c r="G23" s="111">
        <v>1</v>
      </c>
      <c r="H23" s="27"/>
      <c r="I23" s="27"/>
      <c r="J23" s="27"/>
      <c r="K23" s="27"/>
      <c r="L23" s="27"/>
      <c r="M23" s="27"/>
      <c r="N23" s="27"/>
      <c r="O23" s="27"/>
      <c r="P23" s="27"/>
      <c r="Q23" s="27"/>
      <c r="R23" s="27"/>
      <c r="S23" s="27"/>
      <c r="T23" s="27"/>
      <c r="U23" s="27"/>
      <c r="V23" s="27"/>
      <c r="W23" s="22"/>
      <c r="X23" s="22"/>
      <c r="Y23" s="22"/>
      <c r="Z23" s="22"/>
      <c r="AA23" s="22"/>
      <c r="AB23" s="22"/>
      <c r="AC23" s="22"/>
      <c r="AD23" s="22"/>
      <c r="AE23" s="22"/>
    </row>
    <row r="24" spans="1:31" ht="15.75" x14ac:dyDescent="0.25">
      <c r="A24" s="184" t="s">
        <v>276</v>
      </c>
      <c r="B24" s="134" t="s">
        <v>449</v>
      </c>
      <c r="C24" s="134">
        <v>0</v>
      </c>
      <c r="D24" s="134">
        <v>0</v>
      </c>
      <c r="E24" s="134">
        <v>0</v>
      </c>
      <c r="F24" s="111" t="s">
        <v>781</v>
      </c>
      <c r="G24" s="111" t="s">
        <v>781</v>
      </c>
      <c r="H24" s="27"/>
      <c r="I24" s="27"/>
      <c r="J24" s="27"/>
      <c r="K24" s="27"/>
      <c r="L24" s="27"/>
      <c r="M24" s="27"/>
      <c r="N24" s="27"/>
      <c r="O24" s="27"/>
      <c r="P24" s="27"/>
      <c r="Q24" s="27"/>
      <c r="R24" s="27"/>
      <c r="S24" s="27"/>
      <c r="T24" s="27"/>
      <c r="U24" s="27"/>
      <c r="V24" s="27"/>
      <c r="W24" s="22"/>
      <c r="X24" s="22"/>
      <c r="Y24" s="22"/>
      <c r="Z24" s="22"/>
      <c r="AA24" s="22"/>
      <c r="AB24" s="22"/>
      <c r="AC24" s="22"/>
      <c r="AD24" s="22"/>
      <c r="AE24" s="22"/>
    </row>
    <row r="25" spans="1:31" ht="15.75" x14ac:dyDescent="0.25">
      <c r="A25" s="184" t="s">
        <v>277</v>
      </c>
      <c r="B25" s="134">
        <v>5</v>
      </c>
      <c r="C25" s="134">
        <v>0</v>
      </c>
      <c r="D25" s="134">
        <v>0</v>
      </c>
      <c r="E25" s="134">
        <v>0</v>
      </c>
      <c r="F25" s="111" t="s">
        <v>781</v>
      </c>
      <c r="G25" s="111" t="s">
        <v>781</v>
      </c>
      <c r="H25" s="27"/>
      <c r="I25" s="27"/>
      <c r="J25" s="27"/>
      <c r="K25" s="27"/>
      <c r="L25" s="37"/>
      <c r="M25" s="37"/>
      <c r="N25" s="37"/>
      <c r="O25" s="27"/>
      <c r="P25" s="27"/>
      <c r="Q25" s="27"/>
      <c r="R25" s="27"/>
      <c r="S25" s="27"/>
      <c r="T25" s="27"/>
      <c r="U25" s="27"/>
      <c r="V25" s="27"/>
      <c r="W25" s="22"/>
      <c r="X25" s="22"/>
      <c r="Y25" s="22"/>
      <c r="Z25" s="22"/>
      <c r="AA25" s="22"/>
      <c r="AB25" s="22"/>
      <c r="AC25" s="22"/>
      <c r="AD25" s="22"/>
      <c r="AE25" s="22"/>
    </row>
    <row r="26" spans="1:31" ht="15.75" x14ac:dyDescent="0.25">
      <c r="A26" s="184" t="s">
        <v>278</v>
      </c>
      <c r="B26" s="134">
        <v>5</v>
      </c>
      <c r="C26" s="134" t="s">
        <v>449</v>
      </c>
      <c r="D26" s="134">
        <v>0</v>
      </c>
      <c r="E26" s="134" t="s">
        <v>449</v>
      </c>
      <c r="F26" s="111" t="s">
        <v>781</v>
      </c>
      <c r="G26" s="111">
        <v>1</v>
      </c>
      <c r="H26" s="27"/>
      <c r="I26" s="27"/>
      <c r="J26" s="27"/>
      <c r="K26" s="27"/>
      <c r="L26" s="37"/>
      <c r="M26" s="37"/>
      <c r="N26" s="37"/>
      <c r="O26" s="27"/>
      <c r="P26" s="27"/>
      <c r="Q26" s="27"/>
      <c r="R26" s="27"/>
      <c r="S26" s="27"/>
      <c r="T26" s="27"/>
      <c r="U26" s="27"/>
      <c r="V26" s="27"/>
      <c r="W26" s="22"/>
      <c r="X26" s="22"/>
      <c r="Y26" s="22"/>
      <c r="Z26" s="22"/>
      <c r="AA26" s="22"/>
      <c r="AB26" s="22"/>
      <c r="AC26" s="22"/>
      <c r="AD26" s="22"/>
      <c r="AE26" s="22"/>
    </row>
    <row r="27" spans="1:31" ht="15.75" x14ac:dyDescent="0.25">
      <c r="A27" s="184" t="s">
        <v>279</v>
      </c>
      <c r="B27" s="134">
        <v>5</v>
      </c>
      <c r="C27" s="134" t="s">
        <v>449</v>
      </c>
      <c r="D27" s="134" t="s">
        <v>449</v>
      </c>
      <c r="E27" s="134" t="s">
        <v>449</v>
      </c>
      <c r="F27" s="111" t="s">
        <v>449</v>
      </c>
      <c r="G27" s="111" t="s">
        <v>449</v>
      </c>
      <c r="H27" s="27"/>
      <c r="I27" s="27"/>
      <c r="J27" s="27"/>
      <c r="K27" s="27"/>
      <c r="L27" s="37"/>
      <c r="M27" s="37"/>
      <c r="N27" s="37"/>
      <c r="O27" s="27"/>
      <c r="P27" s="27"/>
      <c r="Q27" s="27"/>
      <c r="R27" s="27"/>
      <c r="S27" s="27"/>
      <c r="T27" s="27"/>
      <c r="U27" s="27"/>
      <c r="V27" s="27"/>
      <c r="W27" s="22"/>
      <c r="X27" s="22"/>
      <c r="Y27" s="22"/>
      <c r="Z27" s="22"/>
      <c r="AA27" s="22"/>
      <c r="AB27" s="22"/>
      <c r="AC27" s="22"/>
      <c r="AD27" s="22"/>
      <c r="AE27" s="22"/>
    </row>
    <row r="28" spans="1:31" ht="15.75" x14ac:dyDescent="0.25">
      <c r="A28" s="184" t="s">
        <v>280</v>
      </c>
      <c r="B28" s="134">
        <v>5</v>
      </c>
      <c r="C28" s="134">
        <v>0</v>
      </c>
      <c r="D28" s="134">
        <v>0</v>
      </c>
      <c r="E28" s="134">
        <v>0</v>
      </c>
      <c r="F28" s="111" t="s">
        <v>781</v>
      </c>
      <c r="G28" s="111" t="s">
        <v>781</v>
      </c>
      <c r="H28" s="27"/>
      <c r="I28" s="27"/>
      <c r="J28" s="27"/>
      <c r="K28" s="27"/>
      <c r="L28" s="37"/>
      <c r="M28" s="37"/>
      <c r="N28" s="37"/>
      <c r="O28" s="27"/>
      <c r="P28" s="27"/>
      <c r="Q28" s="27"/>
      <c r="R28" s="27"/>
      <c r="S28" s="27"/>
      <c r="T28" s="27"/>
      <c r="U28" s="27"/>
      <c r="V28" s="27"/>
      <c r="W28" s="22"/>
      <c r="X28" s="22"/>
      <c r="Y28" s="22"/>
      <c r="Z28" s="22"/>
      <c r="AA28" s="22"/>
      <c r="AB28" s="22"/>
      <c r="AC28" s="22"/>
      <c r="AD28" s="22"/>
      <c r="AE28" s="22"/>
    </row>
    <row r="29" spans="1:31" ht="15.75" x14ac:dyDescent="0.25">
      <c r="A29" s="184" t="s">
        <v>281</v>
      </c>
      <c r="B29" s="134">
        <v>5</v>
      </c>
      <c r="C29" s="111" t="s">
        <v>449</v>
      </c>
      <c r="D29" s="134">
        <v>0</v>
      </c>
      <c r="E29" s="111" t="s">
        <v>449</v>
      </c>
      <c r="F29" s="111">
        <v>0</v>
      </c>
      <c r="G29" s="111">
        <v>1</v>
      </c>
      <c r="H29" s="27"/>
      <c r="I29" s="27"/>
      <c r="J29" s="27"/>
      <c r="K29" s="27"/>
      <c r="L29" s="37"/>
      <c r="M29" s="37"/>
      <c r="N29" s="37"/>
      <c r="O29" s="27"/>
      <c r="P29" s="27"/>
      <c r="Q29" s="27"/>
      <c r="R29" s="27"/>
      <c r="S29" s="27"/>
      <c r="T29" s="27"/>
      <c r="U29" s="27"/>
      <c r="V29" s="27"/>
      <c r="W29" s="22"/>
      <c r="X29" s="22"/>
      <c r="Y29" s="22"/>
      <c r="Z29" s="22"/>
      <c r="AA29" s="22"/>
      <c r="AB29" s="22"/>
      <c r="AC29" s="22"/>
      <c r="AD29" s="22"/>
      <c r="AE29" s="22"/>
    </row>
    <row r="30" spans="1:31" ht="15.75" x14ac:dyDescent="0.25">
      <c r="A30" s="184" t="s">
        <v>282</v>
      </c>
      <c r="B30" s="134">
        <v>5</v>
      </c>
      <c r="C30" s="134">
        <v>5</v>
      </c>
      <c r="D30" s="134">
        <v>0</v>
      </c>
      <c r="E30" s="134">
        <v>5</v>
      </c>
      <c r="F30" s="111">
        <v>0</v>
      </c>
      <c r="G30" s="111">
        <v>1</v>
      </c>
      <c r="H30" s="27"/>
      <c r="I30" s="27"/>
      <c r="J30" s="27"/>
      <c r="K30" s="27"/>
      <c r="L30" s="37"/>
      <c r="M30" s="37"/>
      <c r="N30" s="37"/>
      <c r="O30" s="27"/>
      <c r="P30" s="27"/>
      <c r="Q30" s="27"/>
      <c r="R30" s="27"/>
      <c r="S30" s="27"/>
      <c r="T30" s="27"/>
      <c r="U30" s="27"/>
      <c r="V30" s="27"/>
      <c r="W30" s="22"/>
      <c r="X30" s="22"/>
      <c r="Y30" s="22"/>
      <c r="Z30" s="22"/>
      <c r="AA30" s="22"/>
      <c r="AB30" s="22"/>
      <c r="AC30" s="22"/>
      <c r="AD30" s="22"/>
      <c r="AE30" s="22"/>
    </row>
    <row r="31" spans="1:31" ht="15.75" x14ac:dyDescent="0.25">
      <c r="A31" s="184" t="s">
        <v>283</v>
      </c>
      <c r="B31" s="134">
        <v>5</v>
      </c>
      <c r="C31" s="134" t="s">
        <v>449</v>
      </c>
      <c r="D31" s="134" t="s">
        <v>449</v>
      </c>
      <c r="E31" s="134" t="s">
        <v>449</v>
      </c>
      <c r="F31" s="111" t="s">
        <v>449</v>
      </c>
      <c r="G31" s="111" t="s">
        <v>449</v>
      </c>
      <c r="H31" s="27"/>
      <c r="I31" s="27"/>
      <c r="J31" s="27"/>
      <c r="K31" s="27"/>
      <c r="L31" s="37"/>
      <c r="M31" s="37"/>
      <c r="N31" s="37"/>
      <c r="O31" s="27"/>
      <c r="P31" s="27"/>
      <c r="Q31" s="27"/>
      <c r="R31" s="27"/>
      <c r="S31" s="27"/>
      <c r="T31" s="27"/>
      <c r="U31" s="27"/>
      <c r="V31" s="27"/>
      <c r="W31" s="22"/>
      <c r="X31" s="22"/>
      <c r="Y31" s="22"/>
      <c r="Z31" s="22"/>
      <c r="AA31" s="22"/>
      <c r="AB31" s="22"/>
      <c r="AC31" s="22"/>
      <c r="AD31" s="22"/>
      <c r="AE31" s="22"/>
    </row>
    <row r="32" spans="1:31" ht="15.75" x14ac:dyDescent="0.25">
      <c r="A32" s="184" t="s">
        <v>284</v>
      </c>
      <c r="B32" s="134" t="s">
        <v>449</v>
      </c>
      <c r="C32" s="134">
        <v>5</v>
      </c>
      <c r="D32" s="134">
        <v>0</v>
      </c>
      <c r="E32" s="134">
        <v>5</v>
      </c>
      <c r="F32" s="111">
        <v>0</v>
      </c>
      <c r="G32" s="111">
        <v>1</v>
      </c>
      <c r="H32" s="27"/>
      <c r="I32" s="27"/>
      <c r="J32" s="27"/>
      <c r="K32" s="27"/>
      <c r="L32" s="37"/>
      <c r="M32" s="37"/>
      <c r="N32" s="37"/>
      <c r="O32" s="27"/>
      <c r="P32" s="27"/>
      <c r="Q32" s="27"/>
      <c r="R32" s="27"/>
      <c r="S32" s="27"/>
      <c r="T32" s="27"/>
      <c r="U32" s="27"/>
      <c r="V32" s="27"/>
      <c r="W32" s="22"/>
      <c r="X32" s="22"/>
      <c r="Y32" s="22"/>
      <c r="Z32" s="22"/>
      <c r="AA32" s="22"/>
      <c r="AB32" s="22"/>
      <c r="AC32" s="22"/>
      <c r="AD32" s="22"/>
      <c r="AE32" s="22"/>
    </row>
    <row r="33" spans="1:37" ht="15.75" x14ac:dyDescent="0.25">
      <c r="A33" s="184" t="s">
        <v>285</v>
      </c>
      <c r="B33" s="134">
        <v>0</v>
      </c>
      <c r="C33" s="134" t="s">
        <v>449</v>
      </c>
      <c r="D33" s="134">
        <v>0</v>
      </c>
      <c r="E33" s="134" t="s">
        <v>449</v>
      </c>
      <c r="F33" s="111">
        <v>0</v>
      </c>
      <c r="G33" s="111">
        <v>1</v>
      </c>
      <c r="H33" s="27"/>
      <c r="I33" s="27"/>
      <c r="J33" s="27"/>
      <c r="K33" s="27"/>
      <c r="L33" s="37"/>
      <c r="M33" s="37"/>
      <c r="N33" s="37"/>
      <c r="O33" s="27"/>
      <c r="P33" s="27"/>
      <c r="Q33" s="27"/>
      <c r="R33" s="27"/>
      <c r="S33" s="27"/>
      <c r="T33" s="27"/>
      <c r="U33" s="27"/>
      <c r="V33" s="27"/>
      <c r="W33" s="22"/>
      <c r="X33" s="22"/>
      <c r="Y33" s="22"/>
      <c r="Z33" s="22"/>
      <c r="AA33" s="22"/>
      <c r="AB33" s="22"/>
      <c r="AC33" s="22"/>
      <c r="AD33" s="22"/>
      <c r="AE33" s="22"/>
    </row>
    <row r="34" spans="1:37" ht="15.75" x14ac:dyDescent="0.25">
      <c r="A34" s="184" t="s">
        <v>263</v>
      </c>
      <c r="B34" s="134">
        <v>5</v>
      </c>
      <c r="C34" s="134">
        <v>5</v>
      </c>
      <c r="D34" s="134">
        <v>0</v>
      </c>
      <c r="E34" s="134">
        <v>5</v>
      </c>
      <c r="F34" s="111">
        <v>0</v>
      </c>
      <c r="G34" s="111">
        <v>1</v>
      </c>
      <c r="H34" s="27"/>
      <c r="I34" s="27"/>
      <c r="J34" s="27"/>
      <c r="K34" s="27"/>
      <c r="L34" s="27"/>
      <c r="M34" s="27"/>
      <c r="N34" s="27"/>
      <c r="O34" s="27"/>
      <c r="P34" s="27"/>
      <c r="Q34" s="27"/>
      <c r="R34" s="27"/>
      <c r="S34" s="27"/>
      <c r="T34" s="27"/>
      <c r="U34" s="27"/>
      <c r="V34" s="27"/>
      <c r="W34" s="22"/>
      <c r="X34" s="22"/>
      <c r="Y34" s="22"/>
      <c r="Z34" s="22"/>
      <c r="AA34" s="22"/>
      <c r="AB34" s="22"/>
      <c r="AC34" s="22"/>
      <c r="AD34" s="22"/>
      <c r="AE34" s="22"/>
    </row>
    <row r="35" spans="1:37" ht="15.75" x14ac:dyDescent="0.25">
      <c r="A35" s="184" t="s">
        <v>286</v>
      </c>
      <c r="B35" s="134">
        <v>5</v>
      </c>
      <c r="C35" s="134">
        <v>0</v>
      </c>
      <c r="D35" s="134">
        <v>0</v>
      </c>
      <c r="E35" s="134">
        <v>0</v>
      </c>
      <c r="F35" s="111" t="s">
        <v>781</v>
      </c>
      <c r="G35" s="111" t="s">
        <v>781</v>
      </c>
      <c r="H35" s="27"/>
      <c r="I35" s="27"/>
      <c r="J35" s="27"/>
      <c r="K35" s="27"/>
      <c r="L35" s="27"/>
      <c r="M35" s="27"/>
      <c r="N35" s="27"/>
      <c r="O35" s="27"/>
      <c r="P35" s="27"/>
      <c r="Q35" s="27"/>
      <c r="R35" s="27"/>
      <c r="S35" s="27"/>
      <c r="T35" s="27"/>
      <c r="U35" s="27"/>
      <c r="V35" s="27"/>
      <c r="W35" s="22"/>
      <c r="X35" s="22"/>
      <c r="Y35" s="22"/>
      <c r="Z35" s="22"/>
      <c r="AA35" s="22"/>
      <c r="AB35" s="22"/>
      <c r="AC35" s="22"/>
      <c r="AD35" s="22"/>
      <c r="AE35" s="22"/>
    </row>
    <row r="36" spans="1:37" s="22" customFormat="1" ht="15.75" x14ac:dyDescent="0.25">
      <c r="A36" s="184" t="s">
        <v>287</v>
      </c>
      <c r="B36" s="134" t="s">
        <v>449</v>
      </c>
      <c r="C36" s="134" t="s">
        <v>449</v>
      </c>
      <c r="D36" s="134">
        <v>0</v>
      </c>
      <c r="E36" s="134" t="s">
        <v>449</v>
      </c>
      <c r="F36" s="111">
        <v>0</v>
      </c>
      <c r="G36" s="111">
        <v>1</v>
      </c>
      <c r="H36" s="37"/>
      <c r="I36" s="37"/>
      <c r="J36" s="37"/>
      <c r="K36" s="37"/>
      <c r="L36" s="37"/>
      <c r="M36" s="37"/>
      <c r="N36" s="37"/>
      <c r="O36" s="37"/>
      <c r="P36" s="37"/>
      <c r="Q36" s="37"/>
      <c r="R36" s="37"/>
      <c r="S36" s="37"/>
      <c r="T36" s="37"/>
      <c r="U36" s="37"/>
      <c r="V36" s="37"/>
    </row>
    <row r="37" spans="1:37" s="22" customFormat="1" ht="15.75" x14ac:dyDescent="0.25">
      <c r="A37" s="183" t="s">
        <v>288</v>
      </c>
      <c r="B37" s="134" t="s">
        <v>449</v>
      </c>
      <c r="C37" s="134" t="s">
        <v>449</v>
      </c>
      <c r="D37" s="134">
        <v>0</v>
      </c>
      <c r="E37" s="134" t="s">
        <v>449</v>
      </c>
      <c r="F37" s="111">
        <v>0</v>
      </c>
      <c r="G37" s="111">
        <v>1</v>
      </c>
      <c r="H37" s="37"/>
      <c r="I37" s="37"/>
      <c r="J37" s="37"/>
      <c r="K37" s="37"/>
      <c r="L37" s="37"/>
      <c r="M37" s="37"/>
      <c r="N37" s="37"/>
      <c r="O37" s="37"/>
      <c r="P37" s="37"/>
      <c r="Q37" s="37"/>
      <c r="R37" s="37"/>
      <c r="S37" s="37"/>
      <c r="T37" s="37"/>
      <c r="U37" s="37"/>
      <c r="V37" s="37"/>
    </row>
    <row r="38" spans="1:37" s="22" customFormat="1" ht="15.75" x14ac:dyDescent="0.25">
      <c r="A38" s="145" t="s">
        <v>683</v>
      </c>
      <c r="B38" s="134">
        <v>0</v>
      </c>
      <c r="C38" s="134">
        <v>0</v>
      </c>
      <c r="D38" s="134">
        <v>0</v>
      </c>
      <c r="E38" s="134">
        <v>0</v>
      </c>
      <c r="F38" s="111" t="s">
        <v>781</v>
      </c>
      <c r="G38" s="111" t="s">
        <v>781</v>
      </c>
      <c r="H38" s="37"/>
      <c r="I38" s="37"/>
      <c r="J38" s="37"/>
      <c r="K38" s="37"/>
      <c r="L38" s="37"/>
      <c r="M38" s="37"/>
      <c r="N38" s="37"/>
      <c r="O38" s="37"/>
      <c r="P38" s="37"/>
      <c r="Q38" s="37"/>
      <c r="R38" s="37"/>
      <c r="S38" s="37"/>
      <c r="T38" s="37"/>
      <c r="U38" s="37"/>
      <c r="V38" s="37"/>
    </row>
    <row r="39" spans="1:37" ht="15.75" x14ac:dyDescent="0.25">
      <c r="A39" s="184" t="s">
        <v>684</v>
      </c>
      <c r="B39" s="134">
        <v>5</v>
      </c>
      <c r="C39" s="134">
        <v>5</v>
      </c>
      <c r="D39" s="134">
        <v>0</v>
      </c>
      <c r="E39" s="134">
        <v>5</v>
      </c>
      <c r="F39" s="111">
        <v>0</v>
      </c>
      <c r="G39" s="111">
        <v>1</v>
      </c>
      <c r="H39" s="27"/>
      <c r="I39" s="27"/>
      <c r="J39" s="27"/>
      <c r="K39" s="27"/>
      <c r="L39" s="27"/>
      <c r="M39" s="27"/>
      <c r="N39" s="27"/>
      <c r="O39" s="27"/>
      <c r="P39" s="27"/>
      <c r="Q39" s="27"/>
      <c r="R39" s="27"/>
      <c r="S39" s="27"/>
      <c r="T39" s="27"/>
      <c r="U39" s="27"/>
      <c r="V39" s="27"/>
      <c r="W39" s="22"/>
      <c r="X39" s="22"/>
      <c r="Y39" s="22"/>
      <c r="Z39" s="22"/>
      <c r="AA39" s="22"/>
      <c r="AB39" s="22"/>
      <c r="AC39" s="22"/>
      <c r="AD39" s="22"/>
      <c r="AE39" s="22"/>
    </row>
    <row r="40" spans="1:37" ht="15.75" x14ac:dyDescent="0.25">
      <c r="A40" s="183" t="s">
        <v>685</v>
      </c>
      <c r="B40" s="134" t="s">
        <v>449</v>
      </c>
      <c r="C40" s="134">
        <v>0</v>
      </c>
      <c r="D40" s="134">
        <v>0</v>
      </c>
      <c r="E40" s="134">
        <v>0</v>
      </c>
      <c r="F40" s="111" t="s">
        <v>781</v>
      </c>
      <c r="G40" s="111" t="s">
        <v>781</v>
      </c>
      <c r="H40" s="27"/>
      <c r="I40" s="27"/>
      <c r="J40" s="27"/>
      <c r="K40" s="27"/>
      <c r="L40" s="27"/>
      <c r="M40" s="27"/>
      <c r="N40" s="27"/>
      <c r="O40" s="27"/>
      <c r="P40" s="27"/>
      <c r="Q40" s="27"/>
      <c r="R40" s="27"/>
      <c r="S40" s="27"/>
      <c r="T40" s="27"/>
      <c r="U40" s="27"/>
      <c r="V40" s="27"/>
      <c r="W40" s="22"/>
      <c r="X40" s="22"/>
      <c r="Y40" s="22"/>
      <c r="Z40" s="22"/>
      <c r="AA40" s="22"/>
      <c r="AB40" s="22"/>
      <c r="AC40" s="22"/>
      <c r="AD40" s="22"/>
      <c r="AE40" s="22"/>
    </row>
    <row r="41" spans="1:37" s="22" customFormat="1" ht="15.75" x14ac:dyDescent="0.25">
      <c r="A41" s="147" t="s">
        <v>742</v>
      </c>
      <c r="B41" s="221" t="s">
        <v>449</v>
      </c>
      <c r="C41" s="193">
        <v>0</v>
      </c>
      <c r="D41" s="193">
        <v>0</v>
      </c>
      <c r="E41" s="193">
        <v>0</v>
      </c>
      <c r="F41" s="220" t="s">
        <v>781</v>
      </c>
      <c r="G41" s="220" t="s">
        <v>781</v>
      </c>
      <c r="H41" s="37"/>
      <c r="I41" s="37"/>
      <c r="J41" s="37"/>
      <c r="K41" s="37"/>
      <c r="L41" s="37"/>
      <c r="M41" s="37"/>
      <c r="N41" s="37"/>
      <c r="O41" s="37"/>
      <c r="P41" s="37"/>
      <c r="Q41" s="37"/>
      <c r="R41" s="37"/>
      <c r="S41" s="37"/>
      <c r="T41" s="37"/>
      <c r="U41" s="37"/>
      <c r="V41" s="37"/>
    </row>
    <row r="42" spans="1:37" s="22" customFormat="1" ht="15.75" x14ac:dyDescent="0.25">
      <c r="A42" s="147" t="s">
        <v>743</v>
      </c>
      <c r="B42" s="221">
        <v>5</v>
      </c>
      <c r="C42" s="193" t="s">
        <v>449</v>
      </c>
      <c r="D42" s="193">
        <v>0</v>
      </c>
      <c r="E42" s="193" t="s">
        <v>449</v>
      </c>
      <c r="F42" s="220">
        <v>0</v>
      </c>
      <c r="G42" s="220">
        <v>1</v>
      </c>
      <c r="H42" s="37"/>
      <c r="I42" s="37"/>
      <c r="J42" s="37"/>
      <c r="K42" s="37"/>
      <c r="L42" s="37"/>
      <c r="M42" s="37"/>
      <c r="N42" s="37"/>
      <c r="O42" s="37"/>
      <c r="P42" s="37"/>
      <c r="Q42" s="37"/>
      <c r="R42" s="37"/>
      <c r="S42" s="37"/>
      <c r="T42" s="37"/>
      <c r="U42" s="37"/>
      <c r="V42" s="37"/>
    </row>
    <row r="43" spans="1:37" s="22" customFormat="1" ht="15.75" x14ac:dyDescent="0.25">
      <c r="A43" s="147" t="s">
        <v>744</v>
      </c>
      <c r="B43" s="221">
        <v>0</v>
      </c>
      <c r="C43" s="193" t="s">
        <v>449</v>
      </c>
      <c r="D43" s="193" t="s">
        <v>449</v>
      </c>
      <c r="E43" s="193">
        <v>0</v>
      </c>
      <c r="F43" s="220">
        <v>1</v>
      </c>
      <c r="G43" s="220" t="s">
        <v>781</v>
      </c>
      <c r="H43" s="37"/>
      <c r="I43" s="37"/>
      <c r="J43" s="37"/>
      <c r="K43" s="37"/>
      <c r="L43" s="37"/>
      <c r="M43" s="37"/>
      <c r="N43" s="37"/>
      <c r="O43" s="37"/>
      <c r="P43" s="37"/>
      <c r="Q43" s="37"/>
      <c r="R43" s="37"/>
      <c r="S43" s="37"/>
      <c r="T43" s="37"/>
      <c r="U43" s="37"/>
      <c r="V43" s="37"/>
    </row>
    <row r="44" spans="1:37" ht="15.75" x14ac:dyDescent="0.25">
      <c r="A44" s="64" t="s">
        <v>8</v>
      </c>
      <c r="B44" s="83"/>
      <c r="C44" s="83"/>
      <c r="D44" s="83"/>
      <c r="E44" s="83"/>
      <c r="F44" s="83"/>
      <c r="G44" s="83"/>
      <c r="H44" s="83"/>
      <c r="I44" s="83"/>
      <c r="J44" s="83"/>
      <c r="K44" s="83"/>
      <c r="L44" s="83"/>
      <c r="M44" s="83"/>
      <c r="N44" s="27"/>
      <c r="O44" s="27"/>
      <c r="P44" s="27"/>
      <c r="Q44" s="27"/>
      <c r="R44" s="27"/>
      <c r="S44" s="27"/>
      <c r="T44" s="27"/>
      <c r="U44" s="27"/>
      <c r="V44" s="27"/>
      <c r="W44" s="22"/>
      <c r="X44" s="22"/>
      <c r="Y44" s="22"/>
      <c r="Z44" s="22"/>
      <c r="AA44" s="22"/>
      <c r="AB44" s="22"/>
      <c r="AC44" s="22"/>
      <c r="AD44" s="22"/>
      <c r="AE44" s="22"/>
      <c r="AF44" s="22"/>
      <c r="AG44" s="22"/>
      <c r="AH44" s="22"/>
      <c r="AI44" s="22"/>
      <c r="AJ44" s="22"/>
      <c r="AK44" s="22"/>
    </row>
    <row r="45" spans="1:37" ht="15.75" x14ac:dyDescent="0.25">
      <c r="A45" s="64" t="s">
        <v>64</v>
      </c>
      <c r="B45" s="27"/>
      <c r="C45" s="27"/>
      <c r="D45" s="27"/>
      <c r="E45" s="27"/>
      <c r="F45" s="27"/>
      <c r="G45" s="27"/>
      <c r="H45" s="27"/>
      <c r="I45" s="27"/>
      <c r="J45" s="27"/>
      <c r="K45" s="79"/>
      <c r="L45" s="27"/>
      <c r="M45" s="27"/>
      <c r="N45" s="27"/>
      <c r="O45" s="27"/>
      <c r="P45" s="27"/>
      <c r="Q45" s="27"/>
      <c r="R45" s="27"/>
      <c r="S45" s="27"/>
      <c r="T45" s="27"/>
      <c r="U45" s="27"/>
      <c r="V45" s="27"/>
      <c r="W45" s="22"/>
      <c r="X45" s="22"/>
      <c r="Y45" s="22"/>
      <c r="Z45" s="22"/>
      <c r="AA45" s="22"/>
      <c r="AB45" s="22"/>
      <c r="AC45" s="22"/>
      <c r="AD45" s="22"/>
      <c r="AE45" s="22"/>
      <c r="AF45" s="22"/>
      <c r="AG45" s="22"/>
      <c r="AH45" s="22"/>
      <c r="AI45" s="22"/>
      <c r="AJ45" s="22"/>
      <c r="AK45" s="22"/>
    </row>
    <row r="46" spans="1:37" ht="15.75" x14ac:dyDescent="0.25">
      <c r="A46" s="37" t="s">
        <v>672</v>
      </c>
      <c r="B46" s="27"/>
      <c r="C46" s="27"/>
      <c r="D46" s="27"/>
      <c r="E46" s="27"/>
      <c r="F46" s="27"/>
      <c r="G46" s="27"/>
      <c r="H46" s="27"/>
      <c r="I46" s="27"/>
      <c r="J46" s="27"/>
      <c r="K46" s="27"/>
      <c r="L46" s="27"/>
      <c r="M46" s="27"/>
      <c r="N46" s="27"/>
      <c r="O46" s="27"/>
      <c r="P46" s="27"/>
      <c r="Q46" s="27"/>
      <c r="R46" s="27"/>
      <c r="S46" s="27"/>
      <c r="T46" s="27"/>
      <c r="U46" s="27"/>
      <c r="V46" s="27"/>
      <c r="W46" s="22"/>
      <c r="X46" s="22"/>
      <c r="Y46" s="22"/>
      <c r="Z46" s="22"/>
      <c r="AA46" s="22"/>
      <c r="AB46" s="22"/>
      <c r="AC46" s="22"/>
      <c r="AD46" s="22"/>
      <c r="AE46" s="22"/>
      <c r="AF46" s="22"/>
      <c r="AG46" s="22"/>
      <c r="AH46" s="22"/>
      <c r="AI46" s="22"/>
      <c r="AJ46" s="22"/>
      <c r="AK46" s="22"/>
    </row>
    <row r="47" spans="1:37" ht="15.75" x14ac:dyDescent="0.25">
      <c r="A47" s="37" t="s">
        <v>677</v>
      </c>
      <c r="B47" s="27"/>
      <c r="C47" s="27"/>
      <c r="D47" s="27"/>
      <c r="E47" s="27"/>
      <c r="F47" s="27"/>
      <c r="G47" s="27"/>
      <c r="H47" s="27"/>
      <c r="I47" s="27"/>
      <c r="J47" s="27"/>
      <c r="K47" s="27"/>
      <c r="L47" s="27"/>
      <c r="M47" s="27"/>
      <c r="N47" s="27"/>
      <c r="O47" s="27"/>
      <c r="P47" s="27"/>
      <c r="Q47" s="27"/>
      <c r="R47" s="27"/>
      <c r="S47" s="27"/>
      <c r="T47" s="27"/>
      <c r="U47" s="27"/>
      <c r="V47" s="27"/>
      <c r="W47" s="22"/>
      <c r="X47" s="22"/>
      <c r="Y47" s="22"/>
      <c r="Z47" s="22"/>
      <c r="AA47" s="22"/>
      <c r="AB47" s="22"/>
      <c r="AC47" s="22"/>
      <c r="AD47" s="22"/>
      <c r="AE47" s="22"/>
      <c r="AF47" s="22"/>
      <c r="AG47" s="22"/>
      <c r="AH47" s="22"/>
      <c r="AI47" s="22"/>
      <c r="AJ47" s="22"/>
      <c r="AK47" s="22"/>
    </row>
    <row r="48" spans="1:37" ht="15.75" x14ac:dyDescent="0.25">
      <c r="A48" s="37" t="s">
        <v>310</v>
      </c>
      <c r="B48" s="27"/>
      <c r="C48" s="27"/>
      <c r="D48" s="27"/>
      <c r="E48" s="27"/>
      <c r="F48" s="27"/>
      <c r="G48" s="27"/>
      <c r="H48" s="27"/>
      <c r="I48" s="27"/>
      <c r="J48" s="27"/>
      <c r="K48" s="27"/>
      <c r="L48" s="27"/>
      <c r="M48" s="27"/>
      <c r="N48" s="27"/>
      <c r="O48" s="27"/>
      <c r="P48" s="27"/>
      <c r="Q48" s="27"/>
      <c r="R48" s="27"/>
      <c r="S48" s="27"/>
      <c r="T48" s="27"/>
      <c r="U48" s="27"/>
      <c r="V48" s="27"/>
      <c r="W48" s="22"/>
      <c r="X48" s="22"/>
      <c r="Y48" s="22"/>
      <c r="Z48" s="22"/>
      <c r="AA48" s="22"/>
      <c r="AB48" s="22"/>
      <c r="AC48" s="22"/>
      <c r="AD48" s="22"/>
      <c r="AE48" s="22"/>
      <c r="AF48" s="22"/>
      <c r="AG48" s="22"/>
      <c r="AH48" s="22"/>
      <c r="AI48" s="22"/>
      <c r="AJ48" s="22"/>
      <c r="AK48" s="22"/>
    </row>
    <row r="49" spans="1:37" ht="15.75" x14ac:dyDescent="0.25">
      <c r="A49" s="27"/>
      <c r="B49" s="27"/>
      <c r="C49" s="27"/>
      <c r="D49" s="27"/>
      <c r="E49" s="27"/>
      <c r="F49" s="27"/>
      <c r="G49" s="27"/>
      <c r="H49" s="27"/>
      <c r="I49" s="27"/>
      <c r="J49" s="27"/>
      <c r="K49" s="27"/>
      <c r="L49" s="27"/>
      <c r="M49" s="27"/>
      <c r="N49" s="79"/>
      <c r="O49" s="27"/>
      <c r="P49" s="27"/>
      <c r="Q49" s="27"/>
      <c r="R49" s="27"/>
      <c r="S49" s="27"/>
      <c r="T49" s="27"/>
      <c r="U49" s="27"/>
      <c r="V49" s="27"/>
      <c r="W49" s="22"/>
      <c r="X49" s="22"/>
      <c r="Y49" s="22"/>
      <c r="Z49" s="22"/>
      <c r="AA49" s="22"/>
      <c r="AB49" s="22"/>
      <c r="AC49" s="22"/>
      <c r="AD49" s="22"/>
      <c r="AE49" s="22"/>
      <c r="AF49" s="22"/>
      <c r="AG49" s="22"/>
      <c r="AH49" s="22"/>
      <c r="AI49" s="22"/>
      <c r="AJ49" s="22"/>
      <c r="AK49" s="22"/>
    </row>
    <row r="50" spans="1:37" ht="15.75" x14ac:dyDescent="0.25">
      <c r="A50" s="27"/>
      <c r="B50" s="27"/>
      <c r="C50" s="27"/>
      <c r="D50" s="27"/>
      <c r="E50" s="27"/>
      <c r="F50" s="27"/>
      <c r="G50" s="27"/>
      <c r="H50" s="27"/>
      <c r="I50" s="27"/>
      <c r="J50" s="27"/>
      <c r="K50" s="27"/>
      <c r="L50" s="27"/>
      <c r="M50" s="27"/>
      <c r="N50" s="27"/>
      <c r="O50" s="27"/>
      <c r="P50" s="27"/>
      <c r="Q50" s="27"/>
      <c r="R50" s="27"/>
      <c r="S50" s="27"/>
      <c r="T50" s="27"/>
      <c r="U50" s="27"/>
      <c r="V50" s="27"/>
      <c r="W50" s="22"/>
      <c r="X50" s="22"/>
      <c r="Y50" s="22"/>
      <c r="Z50" s="22"/>
      <c r="AA50" s="22"/>
      <c r="AB50" s="22"/>
      <c r="AC50" s="22"/>
      <c r="AD50" s="22"/>
      <c r="AE50" s="22"/>
      <c r="AF50" s="22"/>
      <c r="AG50" s="22"/>
      <c r="AH50" s="22"/>
      <c r="AI50" s="22"/>
      <c r="AJ50" s="22"/>
      <c r="AK50" s="22"/>
    </row>
    <row r="51" spans="1:37" ht="15.75" x14ac:dyDescent="0.25">
      <c r="A51" s="27"/>
      <c r="B51" s="27"/>
      <c r="C51" s="27"/>
      <c r="D51" s="27"/>
      <c r="E51" s="27"/>
      <c r="F51" s="27"/>
      <c r="G51" s="27"/>
      <c r="H51" s="27"/>
      <c r="I51" s="27"/>
      <c r="J51" s="27"/>
      <c r="K51" s="27"/>
      <c r="L51" s="27"/>
      <c r="M51" s="27"/>
      <c r="N51" s="27"/>
      <c r="O51" s="27"/>
      <c r="P51" s="27"/>
      <c r="Q51" s="27"/>
      <c r="R51" s="27"/>
      <c r="S51" s="27"/>
      <c r="T51" s="27"/>
      <c r="U51" s="27"/>
      <c r="V51" s="27"/>
      <c r="W51" s="22"/>
      <c r="X51" s="22"/>
      <c r="Y51" s="22"/>
      <c r="Z51" s="22"/>
      <c r="AA51" s="22"/>
      <c r="AB51" s="22"/>
      <c r="AC51" s="22"/>
      <c r="AD51" s="22"/>
      <c r="AE51" s="22"/>
      <c r="AF51" s="22"/>
      <c r="AG51" s="22"/>
      <c r="AH51" s="22"/>
      <c r="AI51" s="22"/>
      <c r="AJ51" s="22"/>
      <c r="AK51" s="22"/>
    </row>
    <row r="52" spans="1:37" ht="15.75" x14ac:dyDescent="0.25">
      <c r="A52" s="27"/>
      <c r="B52" s="27"/>
      <c r="C52" s="27"/>
      <c r="D52" s="27"/>
      <c r="E52" s="27"/>
      <c r="F52" s="27"/>
      <c r="G52" s="27"/>
      <c r="H52" s="27"/>
      <c r="I52" s="27"/>
      <c r="J52" s="27"/>
      <c r="K52" s="27"/>
      <c r="L52" s="27"/>
      <c r="M52" s="27"/>
      <c r="N52" s="27"/>
      <c r="O52" s="27"/>
      <c r="P52" s="27"/>
      <c r="Q52" s="27"/>
      <c r="R52" s="27"/>
      <c r="S52" s="27"/>
      <c r="T52" s="27"/>
      <c r="U52" s="27"/>
      <c r="V52" s="27"/>
      <c r="W52" s="22"/>
      <c r="X52" s="22"/>
      <c r="Y52" s="22"/>
      <c r="Z52" s="22"/>
      <c r="AA52" s="22"/>
      <c r="AB52" s="22"/>
      <c r="AC52" s="22"/>
      <c r="AD52" s="22"/>
      <c r="AE52" s="22"/>
      <c r="AF52" s="22"/>
      <c r="AG52" s="22"/>
      <c r="AH52" s="22"/>
      <c r="AI52" s="22"/>
      <c r="AJ52" s="22"/>
      <c r="AK52" s="22"/>
    </row>
    <row r="53" spans="1:37" ht="15.75" x14ac:dyDescent="0.25">
      <c r="A53" s="27"/>
      <c r="B53" s="27"/>
      <c r="C53" s="27"/>
      <c r="D53" s="27"/>
      <c r="E53" s="27"/>
      <c r="F53" s="27"/>
      <c r="G53" s="27"/>
      <c r="H53" s="27"/>
      <c r="I53" s="27"/>
      <c r="J53" s="27"/>
      <c r="K53" s="27"/>
      <c r="L53" s="27"/>
      <c r="M53" s="27"/>
      <c r="N53" s="27"/>
      <c r="O53" s="27"/>
      <c r="P53" s="27"/>
      <c r="Q53" s="27"/>
      <c r="R53" s="27"/>
      <c r="S53" s="27"/>
      <c r="T53" s="27"/>
      <c r="U53" s="27"/>
      <c r="V53" s="27"/>
      <c r="W53" s="22"/>
      <c r="X53" s="22"/>
      <c r="Y53" s="22"/>
      <c r="Z53" s="22"/>
      <c r="AA53" s="22"/>
      <c r="AB53" s="22"/>
      <c r="AC53" s="22"/>
      <c r="AD53" s="22"/>
      <c r="AE53" s="22"/>
      <c r="AF53" s="22"/>
      <c r="AG53" s="22"/>
      <c r="AH53" s="22"/>
      <c r="AI53" s="22"/>
      <c r="AJ53" s="22"/>
      <c r="AK53" s="22"/>
    </row>
  </sheetData>
  <sheetProtection sheet="1" objects="1" scenarios="1"/>
  <conditionalFormatting sqref="H44:N44 H6:H43">
    <cfRule type="dataBar" priority="18">
      <dataBar>
        <cfvo type="num" val="0"/>
        <cfvo type="num" val="1"/>
        <color theme="4" tint="-0.249977111117893"/>
      </dataBar>
      <extLst>
        <ext xmlns:x14="http://schemas.microsoft.com/office/spreadsheetml/2009/9/main" uri="{B025F937-C7B1-47D3-B67F-A62EFF666E3E}">
          <x14:id>{5B12946A-577C-40DF-8A1D-80EC0315B36F}</x14:id>
        </ext>
      </extLst>
    </cfRule>
  </conditionalFormatting>
  <conditionalFormatting sqref="F13:G35 F39">
    <cfRule type="dataBar" priority="9">
      <dataBar>
        <cfvo type="num" val="0"/>
        <cfvo type="num" val="1"/>
        <color rgb="FFB4A9D4"/>
      </dataBar>
      <extLst>
        <ext xmlns:x14="http://schemas.microsoft.com/office/spreadsheetml/2009/9/main" uri="{B025F937-C7B1-47D3-B67F-A62EFF666E3E}">
          <x14:id>{277FB4DF-CE1E-4295-AB5A-707C0FC55DF7}</x14:id>
        </ext>
      </extLst>
    </cfRule>
  </conditionalFormatting>
  <conditionalFormatting sqref="C29">
    <cfRule type="dataBar" priority="7">
      <dataBar>
        <cfvo type="num" val="0"/>
        <cfvo type="num" val="1"/>
        <color rgb="FFB4A9D4"/>
      </dataBar>
      <extLst>
        <ext xmlns:x14="http://schemas.microsoft.com/office/spreadsheetml/2009/9/main" uri="{B025F937-C7B1-47D3-B67F-A62EFF666E3E}">
          <x14:id>{48188D5F-A427-41F5-9E02-CFCEFDDE17BB}</x14:id>
        </ext>
      </extLst>
    </cfRule>
  </conditionalFormatting>
  <conditionalFormatting sqref="E29">
    <cfRule type="dataBar" priority="8">
      <dataBar>
        <cfvo type="num" val="0"/>
        <cfvo type="num" val="1"/>
        <color rgb="FFB4A9D4"/>
      </dataBar>
      <extLst>
        <ext xmlns:x14="http://schemas.microsoft.com/office/spreadsheetml/2009/9/main" uri="{B025F937-C7B1-47D3-B67F-A62EFF666E3E}">
          <x14:id>{A3F00D4B-F2EA-4416-80CF-39E018CE7CA5}</x14:id>
        </ext>
      </extLst>
    </cfRule>
  </conditionalFormatting>
  <conditionalFormatting sqref="F36:G37">
    <cfRule type="dataBar" priority="6">
      <dataBar>
        <cfvo type="num" val="0"/>
        <cfvo type="num" val="1"/>
        <color rgb="FFB4A9D4"/>
      </dataBar>
      <extLst>
        <ext xmlns:x14="http://schemas.microsoft.com/office/spreadsheetml/2009/9/main" uri="{B025F937-C7B1-47D3-B67F-A62EFF666E3E}">
          <x14:id>{385DB685-7251-43D0-A24F-402E13932DD7}</x14:id>
        </ext>
      </extLst>
    </cfRule>
  </conditionalFormatting>
  <conditionalFormatting sqref="G39">
    <cfRule type="dataBar" priority="1">
      <dataBar>
        <cfvo type="num" val="0"/>
        <cfvo type="num" val="1"/>
        <color rgb="FFB4A9D4"/>
      </dataBar>
      <extLst>
        <ext xmlns:x14="http://schemas.microsoft.com/office/spreadsheetml/2009/9/main" uri="{B025F937-C7B1-47D3-B67F-A62EFF666E3E}">
          <x14:id>{6ACD748B-1607-466E-8DAC-A6F33FF85F82}</x14:id>
        </ext>
      </extLst>
    </cfRule>
  </conditionalFormatting>
  <conditionalFormatting sqref="F8:G12">
    <cfRule type="dataBar" priority="4">
      <dataBar>
        <cfvo type="num" val="0"/>
        <cfvo type="num" val="1"/>
        <color rgb="FFB4A9D4"/>
      </dataBar>
      <extLst>
        <ext xmlns:x14="http://schemas.microsoft.com/office/spreadsheetml/2009/9/main" uri="{B025F937-C7B1-47D3-B67F-A62EFF666E3E}">
          <x14:id>{EE3832FB-088C-41DE-B18B-3ADB41166000}</x14:id>
        </ext>
      </extLst>
    </cfRule>
  </conditionalFormatting>
  <conditionalFormatting sqref="F38:G38">
    <cfRule type="dataBar" priority="3">
      <dataBar>
        <cfvo type="num" val="0"/>
        <cfvo type="num" val="1"/>
        <color rgb="FFB4A9D4"/>
      </dataBar>
      <extLst>
        <ext xmlns:x14="http://schemas.microsoft.com/office/spreadsheetml/2009/9/main" uri="{B025F937-C7B1-47D3-B67F-A62EFF666E3E}">
          <x14:id>{B5150663-4D12-4980-9D21-4B9581A89E28}</x14:id>
        </ext>
      </extLst>
    </cfRule>
  </conditionalFormatting>
  <conditionalFormatting sqref="F40:G43">
    <cfRule type="dataBar" priority="2">
      <dataBar>
        <cfvo type="num" val="0"/>
        <cfvo type="num" val="1"/>
        <color rgb="FFB4A9D4"/>
      </dataBar>
      <extLst>
        <ext xmlns:x14="http://schemas.microsoft.com/office/spreadsheetml/2009/9/main" uri="{B025F937-C7B1-47D3-B67F-A62EFF666E3E}">
          <x14:id>{3DADDD42-AD54-4E5B-A755-9ED33D1917A0}</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12946A-577C-40DF-8A1D-80EC0315B36F}">
            <x14:dataBar minLength="0" maxLength="100" border="1">
              <x14:cfvo type="num">
                <xm:f>0</xm:f>
              </x14:cfvo>
              <x14:cfvo type="num">
                <xm:f>1</xm:f>
              </x14:cfvo>
              <x14:borderColor theme="8" tint="0.39997558519241921"/>
              <x14:negativeFillColor rgb="FFFF0000"/>
              <x14:axisColor rgb="FF000000"/>
            </x14:dataBar>
          </x14:cfRule>
          <xm:sqref>H44:N44 H6:H43</xm:sqref>
        </x14:conditionalFormatting>
        <x14:conditionalFormatting xmlns:xm="http://schemas.microsoft.com/office/excel/2006/main">
          <x14:cfRule type="dataBar" id="{277FB4DF-CE1E-4295-AB5A-707C0FC55DF7}">
            <x14:dataBar minLength="0" maxLength="100" gradient="0">
              <x14:cfvo type="num">
                <xm:f>0</xm:f>
              </x14:cfvo>
              <x14:cfvo type="num">
                <xm:f>1</xm:f>
              </x14:cfvo>
              <x14:negativeFillColor rgb="FFFF0000"/>
              <x14:axisColor rgb="FF000000"/>
            </x14:dataBar>
          </x14:cfRule>
          <xm:sqref>F13:G35 F39</xm:sqref>
        </x14:conditionalFormatting>
        <x14:conditionalFormatting xmlns:xm="http://schemas.microsoft.com/office/excel/2006/main">
          <x14:cfRule type="dataBar" id="{48188D5F-A427-41F5-9E02-CFCEFDDE17BB}">
            <x14:dataBar minLength="0" maxLength="100" gradient="0">
              <x14:cfvo type="num">
                <xm:f>0</xm:f>
              </x14:cfvo>
              <x14:cfvo type="num">
                <xm:f>1</xm:f>
              </x14:cfvo>
              <x14:negativeFillColor rgb="FFFF0000"/>
              <x14:axisColor rgb="FF000000"/>
            </x14:dataBar>
          </x14:cfRule>
          <xm:sqref>C29</xm:sqref>
        </x14:conditionalFormatting>
        <x14:conditionalFormatting xmlns:xm="http://schemas.microsoft.com/office/excel/2006/main">
          <x14:cfRule type="dataBar" id="{A3F00D4B-F2EA-4416-80CF-39E018CE7CA5}">
            <x14:dataBar minLength="0" maxLength="100" gradient="0">
              <x14:cfvo type="num">
                <xm:f>0</xm:f>
              </x14:cfvo>
              <x14:cfvo type="num">
                <xm:f>1</xm:f>
              </x14:cfvo>
              <x14:negativeFillColor rgb="FFFF0000"/>
              <x14:axisColor rgb="FF000000"/>
            </x14:dataBar>
          </x14:cfRule>
          <xm:sqref>E29</xm:sqref>
        </x14:conditionalFormatting>
        <x14:conditionalFormatting xmlns:xm="http://schemas.microsoft.com/office/excel/2006/main">
          <x14:cfRule type="dataBar" id="{385DB685-7251-43D0-A24F-402E13932DD7}">
            <x14:dataBar minLength="0" maxLength="100" gradient="0">
              <x14:cfvo type="num">
                <xm:f>0</xm:f>
              </x14:cfvo>
              <x14:cfvo type="num">
                <xm:f>1</xm:f>
              </x14:cfvo>
              <x14:negativeFillColor rgb="FFFF0000"/>
              <x14:axisColor rgb="FF000000"/>
            </x14:dataBar>
          </x14:cfRule>
          <xm:sqref>F36:G37</xm:sqref>
        </x14:conditionalFormatting>
        <x14:conditionalFormatting xmlns:xm="http://schemas.microsoft.com/office/excel/2006/main">
          <x14:cfRule type="dataBar" id="{6ACD748B-1607-466E-8DAC-A6F33FF85F82}">
            <x14:dataBar minLength="0" maxLength="100" gradient="0">
              <x14:cfvo type="num">
                <xm:f>0</xm:f>
              </x14:cfvo>
              <x14:cfvo type="num">
                <xm:f>1</xm:f>
              </x14:cfvo>
              <x14:negativeFillColor rgb="FFFF0000"/>
              <x14:axisColor rgb="FF000000"/>
            </x14:dataBar>
          </x14:cfRule>
          <xm:sqref>G39</xm:sqref>
        </x14:conditionalFormatting>
        <x14:conditionalFormatting xmlns:xm="http://schemas.microsoft.com/office/excel/2006/main">
          <x14:cfRule type="dataBar" id="{EE3832FB-088C-41DE-B18B-3ADB41166000}">
            <x14:dataBar minLength="0" maxLength="100" gradient="0">
              <x14:cfvo type="num">
                <xm:f>0</xm:f>
              </x14:cfvo>
              <x14:cfvo type="num">
                <xm:f>1</xm:f>
              </x14:cfvo>
              <x14:negativeFillColor rgb="FFFF0000"/>
              <x14:axisColor rgb="FF000000"/>
            </x14:dataBar>
          </x14:cfRule>
          <xm:sqref>F8:G12</xm:sqref>
        </x14:conditionalFormatting>
        <x14:conditionalFormatting xmlns:xm="http://schemas.microsoft.com/office/excel/2006/main">
          <x14:cfRule type="dataBar" id="{B5150663-4D12-4980-9D21-4B9581A89E28}">
            <x14:dataBar minLength="0" maxLength="100" gradient="0">
              <x14:cfvo type="num">
                <xm:f>0</xm:f>
              </x14:cfvo>
              <x14:cfvo type="num">
                <xm:f>1</xm:f>
              </x14:cfvo>
              <x14:negativeFillColor rgb="FFFF0000"/>
              <x14:axisColor rgb="FF000000"/>
            </x14:dataBar>
          </x14:cfRule>
          <xm:sqref>F38:G38</xm:sqref>
        </x14:conditionalFormatting>
        <x14:conditionalFormatting xmlns:xm="http://schemas.microsoft.com/office/excel/2006/main">
          <x14:cfRule type="dataBar" id="{3DADDD42-AD54-4E5B-A755-9ED33D1917A0}">
            <x14:dataBar minLength="0" maxLength="100" gradient="0">
              <x14:cfvo type="num">
                <xm:f>0</xm:f>
              </x14:cfvo>
              <x14:cfvo type="num">
                <xm:f>1</xm:f>
              </x14:cfvo>
              <x14:negativeFillColor rgb="FFFF0000"/>
              <x14:axisColor rgb="FF000000"/>
            </x14:dataBar>
          </x14:cfRule>
          <xm:sqref>F40:G43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53"/>
  <sheetViews>
    <sheetView zoomScale="75" zoomScaleNormal="75" workbookViewId="0"/>
  </sheetViews>
  <sheetFormatPr defaultRowHeight="15" x14ac:dyDescent="0.25"/>
  <cols>
    <col min="1" max="1" width="45.7109375" bestFit="1" customWidth="1"/>
    <col min="2" max="12" width="20.140625" customWidth="1"/>
  </cols>
  <sheetData>
    <row r="1" spans="1:16" ht="21" x14ac:dyDescent="0.35">
      <c r="A1" s="162" t="s">
        <v>447</v>
      </c>
      <c r="B1" s="85"/>
      <c r="C1" s="85"/>
      <c r="D1" s="85"/>
      <c r="E1" s="85"/>
      <c r="F1" s="85"/>
      <c r="G1" s="85"/>
      <c r="H1" s="30"/>
      <c r="I1" s="30"/>
      <c r="J1" s="30"/>
      <c r="K1" s="27"/>
      <c r="L1" s="27"/>
      <c r="M1" s="27"/>
      <c r="N1" s="14"/>
    </row>
    <row r="2" spans="1:16" ht="15.75" x14ac:dyDescent="0.25">
      <c r="A2" s="81" t="s">
        <v>448</v>
      </c>
      <c r="B2" s="63"/>
      <c r="C2" s="63"/>
      <c r="D2" s="63"/>
      <c r="E2" s="63"/>
      <c r="F2" s="63"/>
      <c r="G2" s="63"/>
      <c r="H2" s="30"/>
      <c r="I2" s="30"/>
      <c r="J2" s="30"/>
      <c r="K2" s="70"/>
      <c r="L2" s="70"/>
      <c r="M2" s="70"/>
      <c r="N2" s="14"/>
    </row>
    <row r="3" spans="1:16" s="198" customFormat="1" ht="15.95" customHeight="1" x14ac:dyDescent="0.35">
      <c r="A3" s="222" t="s">
        <v>745</v>
      </c>
      <c r="B3" s="223"/>
      <c r="C3" s="223"/>
      <c r="D3" s="223"/>
      <c r="E3" s="223"/>
      <c r="F3" s="223"/>
      <c r="G3" s="223"/>
      <c r="H3" s="224"/>
      <c r="I3" s="224"/>
      <c r="J3" s="224"/>
      <c r="K3" s="224"/>
    </row>
    <row r="4" spans="1:16" s="198" customFormat="1" ht="15.95" customHeight="1" x14ac:dyDescent="0.35">
      <c r="A4" s="222" t="s">
        <v>746</v>
      </c>
      <c r="B4" s="223"/>
      <c r="C4" s="223"/>
      <c r="D4" s="223"/>
      <c r="E4" s="223"/>
      <c r="F4" s="223"/>
      <c r="G4" s="223"/>
      <c r="H4" s="224"/>
      <c r="I4" s="224"/>
      <c r="J4" s="224"/>
      <c r="K4" s="224"/>
    </row>
    <row r="5" spans="1:16" ht="15.75" x14ac:dyDescent="0.25">
      <c r="A5" s="26" t="s">
        <v>290</v>
      </c>
      <c r="B5" s="63"/>
      <c r="C5" s="63"/>
      <c r="D5" s="63"/>
      <c r="E5" s="63"/>
      <c r="F5" s="63"/>
      <c r="G5" s="63"/>
      <c r="H5" s="30"/>
      <c r="I5" s="30"/>
      <c r="J5" s="30"/>
      <c r="K5" s="70"/>
      <c r="L5" s="70"/>
      <c r="M5" s="70"/>
      <c r="N5" s="14"/>
    </row>
    <row r="6" spans="1:16" ht="78.75" x14ac:dyDescent="0.25">
      <c r="A6" s="38" t="s">
        <v>13</v>
      </c>
      <c r="B6" s="32" t="s">
        <v>791</v>
      </c>
      <c r="C6" s="32" t="s">
        <v>312</v>
      </c>
      <c r="D6" s="32" t="s">
        <v>313</v>
      </c>
      <c r="E6" s="32" t="s">
        <v>792</v>
      </c>
      <c r="F6" s="32" t="s">
        <v>793</v>
      </c>
      <c r="G6" s="32" t="s">
        <v>794</v>
      </c>
      <c r="H6" s="32" t="s">
        <v>795</v>
      </c>
      <c r="I6" s="32" t="s">
        <v>796</v>
      </c>
      <c r="J6" s="32" t="s">
        <v>797</v>
      </c>
      <c r="K6" s="87" t="s">
        <v>798</v>
      </c>
      <c r="L6" s="87" t="s">
        <v>682</v>
      </c>
      <c r="M6" s="68"/>
    </row>
    <row r="7" spans="1:16" ht="15.75" x14ac:dyDescent="0.25">
      <c r="A7" s="120" t="s">
        <v>6</v>
      </c>
      <c r="B7" s="144">
        <v>735</v>
      </c>
      <c r="C7" s="131">
        <v>3.0000000000000001E-3</v>
      </c>
      <c r="D7" s="130">
        <v>720</v>
      </c>
      <c r="E7" s="130">
        <v>285</v>
      </c>
      <c r="F7" s="130">
        <v>300</v>
      </c>
      <c r="G7" s="130">
        <v>135</v>
      </c>
      <c r="H7" s="117">
        <v>0.39</v>
      </c>
      <c r="I7" s="117">
        <v>0.42</v>
      </c>
      <c r="J7" s="117">
        <v>0.19</v>
      </c>
      <c r="K7" s="163" t="s">
        <v>781</v>
      </c>
      <c r="L7" s="167">
        <v>13</v>
      </c>
      <c r="M7" s="27"/>
    </row>
    <row r="8" spans="1:16" ht="15.75" x14ac:dyDescent="0.25">
      <c r="A8" s="148" t="s">
        <v>269</v>
      </c>
      <c r="B8" s="134" t="s">
        <v>449</v>
      </c>
      <c r="C8" s="215">
        <v>0</v>
      </c>
      <c r="D8" s="216">
        <v>0</v>
      </c>
      <c r="E8" s="216">
        <v>0</v>
      </c>
      <c r="F8" s="216">
        <v>0</v>
      </c>
      <c r="G8" s="216">
        <v>0</v>
      </c>
      <c r="H8" s="111">
        <v>0</v>
      </c>
      <c r="I8" s="111">
        <v>0</v>
      </c>
      <c r="J8" s="111">
        <v>0</v>
      </c>
      <c r="K8" s="165" t="s">
        <v>449</v>
      </c>
      <c r="L8" s="134" t="s">
        <v>781</v>
      </c>
      <c r="M8" s="27"/>
    </row>
    <row r="9" spans="1:16" ht="15.75" x14ac:dyDescent="0.25">
      <c r="A9" s="148" t="s">
        <v>270</v>
      </c>
      <c r="B9" s="134">
        <v>15</v>
      </c>
      <c r="C9" s="142">
        <v>2E-3</v>
      </c>
      <c r="D9" s="143">
        <v>5</v>
      </c>
      <c r="E9" s="143">
        <v>5</v>
      </c>
      <c r="F9" s="137" t="s">
        <v>449</v>
      </c>
      <c r="G9" s="133">
        <v>0</v>
      </c>
      <c r="H9" s="111" t="s">
        <v>449</v>
      </c>
      <c r="I9" s="111" t="s">
        <v>449</v>
      </c>
      <c r="J9" s="111">
        <v>0</v>
      </c>
      <c r="K9" s="166">
        <v>10</v>
      </c>
      <c r="L9" s="166">
        <v>11</v>
      </c>
      <c r="M9" s="27"/>
    </row>
    <row r="10" spans="1:16" ht="15.75" x14ac:dyDescent="0.25">
      <c r="A10" s="148" t="s">
        <v>271</v>
      </c>
      <c r="B10" s="134">
        <v>30</v>
      </c>
      <c r="C10" s="142">
        <v>4.0000000000000001E-3</v>
      </c>
      <c r="D10" s="143">
        <v>15</v>
      </c>
      <c r="E10" s="143">
        <v>5</v>
      </c>
      <c r="F10" s="143">
        <v>5</v>
      </c>
      <c r="G10" s="143">
        <v>5</v>
      </c>
      <c r="H10" s="111">
        <v>0.41</v>
      </c>
      <c r="I10" s="111">
        <v>0.41</v>
      </c>
      <c r="J10" s="111">
        <v>0.18</v>
      </c>
      <c r="K10" s="166">
        <v>25</v>
      </c>
      <c r="L10" s="166">
        <v>16</v>
      </c>
      <c r="M10" s="27"/>
    </row>
    <row r="11" spans="1:16" ht="15.75" x14ac:dyDescent="0.25">
      <c r="A11" s="148" t="s">
        <v>272</v>
      </c>
      <c r="B11" s="134">
        <v>25</v>
      </c>
      <c r="C11" s="142">
        <v>3.0000000000000001E-3</v>
      </c>
      <c r="D11" s="143">
        <v>35</v>
      </c>
      <c r="E11" s="143">
        <v>15</v>
      </c>
      <c r="F11" s="143">
        <v>10</v>
      </c>
      <c r="G11" s="143">
        <v>5</v>
      </c>
      <c r="H11" s="111">
        <v>0.52</v>
      </c>
      <c r="I11" s="111">
        <v>0.36</v>
      </c>
      <c r="J11" s="111">
        <v>0.12</v>
      </c>
      <c r="K11" s="166">
        <v>15</v>
      </c>
      <c r="L11" s="166">
        <v>16</v>
      </c>
      <c r="M11" s="27"/>
    </row>
    <row r="12" spans="1:16" ht="15.75" x14ac:dyDescent="0.25">
      <c r="A12" s="148" t="s">
        <v>273</v>
      </c>
      <c r="B12" s="134">
        <v>20</v>
      </c>
      <c r="C12" s="142">
        <v>3.0000000000000001E-3</v>
      </c>
      <c r="D12" s="143">
        <v>30</v>
      </c>
      <c r="E12" s="143">
        <v>10</v>
      </c>
      <c r="F12" s="143">
        <v>20</v>
      </c>
      <c r="G12" s="135" t="s">
        <v>449</v>
      </c>
      <c r="H12" s="111" t="s">
        <v>449</v>
      </c>
      <c r="I12" s="111">
        <v>0.6</v>
      </c>
      <c r="J12" s="111" t="s">
        <v>449</v>
      </c>
      <c r="K12" s="166">
        <v>5</v>
      </c>
      <c r="L12" s="166">
        <v>14</v>
      </c>
      <c r="M12" s="27"/>
      <c r="P12" s="22"/>
    </row>
    <row r="13" spans="1:16" ht="15.75" x14ac:dyDescent="0.25">
      <c r="A13" s="145" t="s">
        <v>274</v>
      </c>
      <c r="B13" s="134">
        <v>30</v>
      </c>
      <c r="C13" s="142">
        <v>4.0000000000000001E-3</v>
      </c>
      <c r="D13" s="143">
        <v>25</v>
      </c>
      <c r="E13" s="143">
        <v>5</v>
      </c>
      <c r="F13" s="143">
        <v>15</v>
      </c>
      <c r="G13" s="135" t="s">
        <v>449</v>
      </c>
      <c r="H13" s="111" t="s">
        <v>449</v>
      </c>
      <c r="I13" s="111">
        <v>0.61</v>
      </c>
      <c r="J13" s="111" t="s">
        <v>449</v>
      </c>
      <c r="K13" s="166">
        <v>10</v>
      </c>
      <c r="L13" s="166">
        <v>11</v>
      </c>
      <c r="M13" s="27"/>
    </row>
    <row r="14" spans="1:16" ht="15.75" x14ac:dyDescent="0.25">
      <c r="A14" s="145" t="s">
        <v>262</v>
      </c>
      <c r="B14" s="134">
        <v>20</v>
      </c>
      <c r="C14" s="142">
        <v>3.0000000000000001E-3</v>
      </c>
      <c r="D14" s="143">
        <v>20</v>
      </c>
      <c r="E14" s="143">
        <v>10</v>
      </c>
      <c r="F14" s="143">
        <v>10</v>
      </c>
      <c r="G14" s="133">
        <v>0</v>
      </c>
      <c r="H14" s="111">
        <v>0.57999999999999996</v>
      </c>
      <c r="I14" s="111">
        <v>0.42</v>
      </c>
      <c r="J14" s="111">
        <v>0</v>
      </c>
      <c r="K14" s="166">
        <v>15</v>
      </c>
      <c r="L14" s="166">
        <v>13</v>
      </c>
      <c r="M14" s="27"/>
    </row>
    <row r="15" spans="1:16" ht="15.75" x14ac:dyDescent="0.25">
      <c r="A15" s="145" t="s">
        <v>275</v>
      </c>
      <c r="B15" s="134">
        <v>25</v>
      </c>
      <c r="C15" s="142">
        <v>3.0000000000000001E-3</v>
      </c>
      <c r="D15" s="143">
        <v>30</v>
      </c>
      <c r="E15" s="143">
        <v>10</v>
      </c>
      <c r="F15" s="143">
        <v>20</v>
      </c>
      <c r="G15" s="135" t="s">
        <v>449</v>
      </c>
      <c r="H15" s="111" t="s">
        <v>449</v>
      </c>
      <c r="I15" s="111">
        <v>0.58099999999999996</v>
      </c>
      <c r="J15" s="111" t="s">
        <v>449</v>
      </c>
      <c r="K15" s="166">
        <v>10</v>
      </c>
      <c r="L15" s="166">
        <v>12</v>
      </c>
      <c r="M15" s="27"/>
    </row>
    <row r="16" spans="1:16" ht="15.75" x14ac:dyDescent="0.25">
      <c r="A16" s="145" t="s">
        <v>276</v>
      </c>
      <c r="B16" s="134">
        <v>25</v>
      </c>
      <c r="C16" s="142">
        <v>4.0000000000000001E-3</v>
      </c>
      <c r="D16" s="143">
        <v>20</v>
      </c>
      <c r="E16" s="143">
        <v>10</v>
      </c>
      <c r="F16" s="143">
        <v>10</v>
      </c>
      <c r="G16" s="135" t="s">
        <v>449</v>
      </c>
      <c r="H16" s="111">
        <v>0.45</v>
      </c>
      <c r="I16" s="111" t="s">
        <v>449</v>
      </c>
      <c r="J16" s="111" t="s">
        <v>449</v>
      </c>
      <c r="K16" s="166">
        <v>15</v>
      </c>
      <c r="L16" s="166">
        <v>11</v>
      </c>
      <c r="M16" s="27"/>
    </row>
    <row r="17" spans="1:22" ht="15.75" x14ac:dyDescent="0.25">
      <c r="A17" s="145" t="s">
        <v>277</v>
      </c>
      <c r="B17" s="134">
        <v>25</v>
      </c>
      <c r="C17" s="142">
        <v>4.0000000000000001E-3</v>
      </c>
      <c r="D17" s="143">
        <v>25</v>
      </c>
      <c r="E17" s="143">
        <v>10</v>
      </c>
      <c r="F17" s="143">
        <v>10</v>
      </c>
      <c r="G17" s="135" t="s">
        <v>449</v>
      </c>
      <c r="H17" s="111">
        <v>0.48</v>
      </c>
      <c r="I17" s="111" t="s">
        <v>449</v>
      </c>
      <c r="J17" s="111" t="s">
        <v>449</v>
      </c>
      <c r="K17" s="166">
        <v>15</v>
      </c>
      <c r="L17" s="166">
        <v>10</v>
      </c>
      <c r="M17" s="27"/>
    </row>
    <row r="18" spans="1:22" ht="15.75" x14ac:dyDescent="0.25">
      <c r="A18" s="145" t="s">
        <v>278</v>
      </c>
      <c r="B18" s="134">
        <v>25</v>
      </c>
      <c r="C18" s="142">
        <v>2E-3</v>
      </c>
      <c r="D18" s="143">
        <v>25</v>
      </c>
      <c r="E18" s="143">
        <v>15</v>
      </c>
      <c r="F18" s="143">
        <v>10</v>
      </c>
      <c r="G18" s="133">
        <v>5</v>
      </c>
      <c r="H18" s="111">
        <v>0.52</v>
      </c>
      <c r="I18" s="111">
        <v>0.3</v>
      </c>
      <c r="J18" s="111">
        <v>0.19</v>
      </c>
      <c r="K18" s="166">
        <v>10</v>
      </c>
      <c r="L18" s="166">
        <v>14</v>
      </c>
      <c r="M18" s="27"/>
      <c r="T18" s="22"/>
      <c r="U18" s="22"/>
      <c r="V18" s="22"/>
    </row>
    <row r="19" spans="1:22" ht="15.75" x14ac:dyDescent="0.25">
      <c r="A19" s="145" t="s">
        <v>279</v>
      </c>
      <c r="B19" s="134">
        <v>30</v>
      </c>
      <c r="C19" s="142">
        <v>2E-3</v>
      </c>
      <c r="D19" s="143">
        <v>25</v>
      </c>
      <c r="E19" s="143">
        <v>15</v>
      </c>
      <c r="F19" s="143">
        <v>5</v>
      </c>
      <c r="G19" s="133">
        <v>5</v>
      </c>
      <c r="H19" s="111">
        <v>0.54</v>
      </c>
      <c r="I19" s="111">
        <v>0.23</v>
      </c>
      <c r="J19" s="111">
        <v>0.23</v>
      </c>
      <c r="K19" s="166">
        <v>15</v>
      </c>
      <c r="L19" s="166">
        <v>13</v>
      </c>
      <c r="M19" s="27"/>
      <c r="T19" s="22"/>
      <c r="U19" s="22"/>
      <c r="V19" s="22"/>
    </row>
    <row r="20" spans="1:22" ht="15.75" x14ac:dyDescent="0.25">
      <c r="A20" s="145" t="s">
        <v>280</v>
      </c>
      <c r="B20" s="134">
        <v>25</v>
      </c>
      <c r="C20" s="142">
        <v>2E-3</v>
      </c>
      <c r="D20" s="143">
        <v>20</v>
      </c>
      <c r="E20" s="143">
        <v>10</v>
      </c>
      <c r="F20" s="143">
        <v>10</v>
      </c>
      <c r="G20" s="133">
        <v>5</v>
      </c>
      <c r="H20" s="111">
        <v>0.38</v>
      </c>
      <c r="I20" s="111">
        <v>0.43</v>
      </c>
      <c r="J20" s="111">
        <v>0.19</v>
      </c>
      <c r="K20" s="166">
        <v>20</v>
      </c>
      <c r="L20" s="166">
        <v>15</v>
      </c>
      <c r="M20" s="27"/>
      <c r="T20" s="22"/>
      <c r="U20" s="22"/>
      <c r="V20" s="22"/>
    </row>
    <row r="21" spans="1:22" ht="15.75" x14ac:dyDescent="0.25">
      <c r="A21" s="145" t="s">
        <v>281</v>
      </c>
      <c r="B21" s="134">
        <v>45</v>
      </c>
      <c r="C21" s="142">
        <v>4.0000000000000001E-3</v>
      </c>
      <c r="D21" s="143">
        <v>30</v>
      </c>
      <c r="E21" s="143">
        <v>15</v>
      </c>
      <c r="F21" s="143">
        <v>15</v>
      </c>
      <c r="G21" s="133">
        <v>5</v>
      </c>
      <c r="H21" s="111">
        <v>0.47</v>
      </c>
      <c r="I21" s="111">
        <v>0.43</v>
      </c>
      <c r="J21" s="111">
        <v>0.1</v>
      </c>
      <c r="K21" s="166">
        <v>35</v>
      </c>
      <c r="L21" s="166">
        <v>13</v>
      </c>
      <c r="M21" s="27"/>
    </row>
    <row r="22" spans="1:22" ht="15.75" x14ac:dyDescent="0.25">
      <c r="A22" s="145" t="s">
        <v>282</v>
      </c>
      <c r="B22" s="134">
        <v>35</v>
      </c>
      <c r="C22" s="142">
        <v>5.0000000000000001E-3</v>
      </c>
      <c r="D22" s="143">
        <v>55</v>
      </c>
      <c r="E22" s="143">
        <v>15</v>
      </c>
      <c r="F22" s="143">
        <v>25</v>
      </c>
      <c r="G22" s="133">
        <v>10</v>
      </c>
      <c r="H22" s="111">
        <v>0.28000000000000003</v>
      </c>
      <c r="I22" s="111">
        <v>0.51</v>
      </c>
      <c r="J22" s="111">
        <v>0.21</v>
      </c>
      <c r="K22" s="166">
        <v>15</v>
      </c>
      <c r="L22" s="166">
        <v>14</v>
      </c>
      <c r="M22" s="27"/>
    </row>
    <row r="23" spans="1:22" ht="15.75" x14ac:dyDescent="0.25">
      <c r="A23" s="145" t="s">
        <v>283</v>
      </c>
      <c r="B23" s="134">
        <v>35</v>
      </c>
      <c r="C23" s="142">
        <v>5.0000000000000001E-3</v>
      </c>
      <c r="D23" s="143">
        <v>30</v>
      </c>
      <c r="E23" s="143">
        <v>10</v>
      </c>
      <c r="F23" s="143">
        <v>15</v>
      </c>
      <c r="G23" s="133">
        <v>5</v>
      </c>
      <c r="H23" s="111">
        <v>0.35</v>
      </c>
      <c r="I23" s="111">
        <v>0.42</v>
      </c>
      <c r="J23" s="111">
        <v>0.23</v>
      </c>
      <c r="K23" s="166">
        <v>20</v>
      </c>
      <c r="L23" s="166">
        <v>14</v>
      </c>
      <c r="M23" s="27"/>
    </row>
    <row r="24" spans="1:22" ht="15.75" x14ac:dyDescent="0.25">
      <c r="A24" s="145" t="s">
        <v>284</v>
      </c>
      <c r="B24" s="134">
        <v>40</v>
      </c>
      <c r="C24" s="142">
        <v>5.0000000000000001E-3</v>
      </c>
      <c r="D24" s="143">
        <v>30</v>
      </c>
      <c r="E24" s="143">
        <v>10</v>
      </c>
      <c r="F24" s="143">
        <v>10</v>
      </c>
      <c r="G24" s="133">
        <v>10</v>
      </c>
      <c r="H24" s="111">
        <v>0.38</v>
      </c>
      <c r="I24" s="111">
        <v>0.34</v>
      </c>
      <c r="J24" s="111">
        <v>0.28000000000000003</v>
      </c>
      <c r="K24" s="166">
        <v>30</v>
      </c>
      <c r="L24" s="166">
        <v>14</v>
      </c>
      <c r="M24" s="27"/>
    </row>
    <row r="25" spans="1:22" ht="15.75" x14ac:dyDescent="0.25">
      <c r="A25" s="145" t="s">
        <v>285</v>
      </c>
      <c r="B25" s="134">
        <v>25</v>
      </c>
      <c r="C25" s="142">
        <v>3.0000000000000001E-3</v>
      </c>
      <c r="D25" s="143">
        <v>35</v>
      </c>
      <c r="E25" s="143">
        <v>15</v>
      </c>
      <c r="F25" s="143">
        <v>10</v>
      </c>
      <c r="G25" s="133">
        <v>10</v>
      </c>
      <c r="H25" s="111">
        <v>0.44</v>
      </c>
      <c r="I25" s="111">
        <v>0.32</v>
      </c>
      <c r="J25" s="111">
        <v>0.24</v>
      </c>
      <c r="K25" s="166">
        <v>15</v>
      </c>
      <c r="L25" s="166">
        <v>13</v>
      </c>
      <c r="M25" s="27"/>
    </row>
    <row r="26" spans="1:22" ht="15.75" x14ac:dyDescent="0.25">
      <c r="A26" s="145" t="s">
        <v>263</v>
      </c>
      <c r="B26" s="134">
        <v>30</v>
      </c>
      <c r="C26" s="142">
        <v>3.0000000000000001E-3</v>
      </c>
      <c r="D26" s="143">
        <v>25</v>
      </c>
      <c r="E26" s="143">
        <v>10</v>
      </c>
      <c r="F26" s="143">
        <v>10</v>
      </c>
      <c r="G26" s="133">
        <v>5</v>
      </c>
      <c r="H26" s="111">
        <v>0.38</v>
      </c>
      <c r="I26" s="111">
        <v>0.35</v>
      </c>
      <c r="J26" s="111">
        <v>0.27</v>
      </c>
      <c r="K26" s="166">
        <v>20</v>
      </c>
      <c r="L26" s="166">
        <v>14</v>
      </c>
      <c r="M26" s="27"/>
    </row>
    <row r="27" spans="1:22" s="22" customFormat="1" ht="15.75" x14ac:dyDescent="0.25">
      <c r="A27" s="145" t="s">
        <v>286</v>
      </c>
      <c r="B27" s="134">
        <v>40</v>
      </c>
      <c r="C27" s="142">
        <v>4.0000000000000001E-3</v>
      </c>
      <c r="D27" s="143">
        <v>40</v>
      </c>
      <c r="E27" s="143">
        <v>10</v>
      </c>
      <c r="F27" s="143">
        <v>10</v>
      </c>
      <c r="G27" s="133">
        <v>15</v>
      </c>
      <c r="H27" s="111">
        <v>0.31</v>
      </c>
      <c r="I27" s="111">
        <v>0.28000000000000003</v>
      </c>
      <c r="J27" s="111">
        <v>0.41</v>
      </c>
      <c r="K27" s="166">
        <v>20</v>
      </c>
      <c r="L27" s="166">
        <v>10</v>
      </c>
      <c r="M27" s="37"/>
    </row>
    <row r="28" spans="1:22" s="22" customFormat="1" ht="15.75" x14ac:dyDescent="0.25">
      <c r="A28" s="145" t="s">
        <v>287</v>
      </c>
      <c r="B28" s="134">
        <v>30</v>
      </c>
      <c r="C28" s="142">
        <v>3.0000000000000001E-3</v>
      </c>
      <c r="D28" s="143">
        <v>35</v>
      </c>
      <c r="E28" s="143">
        <v>15</v>
      </c>
      <c r="F28" s="143">
        <v>10</v>
      </c>
      <c r="G28" s="133">
        <v>10</v>
      </c>
      <c r="H28" s="111">
        <v>0.42</v>
      </c>
      <c r="I28" s="111">
        <v>0.27</v>
      </c>
      <c r="J28" s="111">
        <v>0.3</v>
      </c>
      <c r="K28" s="166">
        <v>20</v>
      </c>
      <c r="L28" s="166">
        <v>8</v>
      </c>
      <c r="M28" s="37"/>
    </row>
    <row r="29" spans="1:22" s="22" customFormat="1" ht="15.75" x14ac:dyDescent="0.25">
      <c r="A29" s="145" t="s">
        <v>288</v>
      </c>
      <c r="B29" s="134">
        <v>25</v>
      </c>
      <c r="C29" s="142">
        <v>3.0000000000000001E-3</v>
      </c>
      <c r="D29" s="143">
        <v>30</v>
      </c>
      <c r="E29" s="143">
        <v>5</v>
      </c>
      <c r="F29" s="143">
        <v>15</v>
      </c>
      <c r="G29" s="133">
        <v>10</v>
      </c>
      <c r="H29" s="111">
        <v>0.17</v>
      </c>
      <c r="I29" s="111">
        <v>0.52</v>
      </c>
      <c r="J29" s="111">
        <v>0.31</v>
      </c>
      <c r="K29" s="166">
        <v>15</v>
      </c>
      <c r="L29" s="166">
        <v>11</v>
      </c>
      <c r="M29" s="37"/>
    </row>
    <row r="30" spans="1:22" ht="15.75" x14ac:dyDescent="0.25">
      <c r="A30" s="145" t="s">
        <v>683</v>
      </c>
      <c r="B30" s="134">
        <v>25</v>
      </c>
      <c r="C30" s="142">
        <v>2E-3</v>
      </c>
      <c r="D30" s="143">
        <v>25</v>
      </c>
      <c r="E30" s="143">
        <v>10</v>
      </c>
      <c r="F30" s="143">
        <v>10</v>
      </c>
      <c r="G30" s="133">
        <v>5</v>
      </c>
      <c r="H30" s="111">
        <v>0.31</v>
      </c>
      <c r="I30" s="111">
        <v>0.42</v>
      </c>
      <c r="J30" s="111">
        <v>0.27</v>
      </c>
      <c r="K30" s="166">
        <v>10</v>
      </c>
      <c r="L30" s="166">
        <v>11</v>
      </c>
      <c r="M30" s="27"/>
    </row>
    <row r="31" spans="1:22" ht="15.75" x14ac:dyDescent="0.25">
      <c r="A31" s="184" t="s">
        <v>684</v>
      </c>
      <c r="B31" s="134">
        <v>25</v>
      </c>
      <c r="C31" s="142">
        <v>3.0000000000000001E-3</v>
      </c>
      <c r="D31" s="143">
        <v>20</v>
      </c>
      <c r="E31" s="143">
        <v>5</v>
      </c>
      <c r="F31" s="143">
        <v>10</v>
      </c>
      <c r="G31" s="133">
        <v>5</v>
      </c>
      <c r="H31" s="111">
        <v>0.25</v>
      </c>
      <c r="I31" s="111">
        <v>0.45</v>
      </c>
      <c r="J31" s="111">
        <v>0.3</v>
      </c>
      <c r="K31" s="166">
        <v>15</v>
      </c>
      <c r="L31" s="166">
        <v>9</v>
      </c>
      <c r="M31" s="27"/>
    </row>
    <row r="32" spans="1:22" ht="15.75" x14ac:dyDescent="0.25">
      <c r="A32" s="183" t="s">
        <v>685</v>
      </c>
      <c r="B32" s="134">
        <v>20</v>
      </c>
      <c r="C32" s="142">
        <v>3.0000000000000001E-3</v>
      </c>
      <c r="D32" s="143">
        <v>25</v>
      </c>
      <c r="E32" s="143">
        <v>5</v>
      </c>
      <c r="F32" s="143">
        <v>15</v>
      </c>
      <c r="G32" s="133">
        <v>5</v>
      </c>
      <c r="H32" s="111">
        <v>0.28000000000000003</v>
      </c>
      <c r="I32" s="111">
        <v>0.6</v>
      </c>
      <c r="J32" s="111">
        <v>0.12</v>
      </c>
      <c r="K32" s="166">
        <v>10</v>
      </c>
      <c r="L32" s="166">
        <v>11</v>
      </c>
      <c r="M32" s="27"/>
    </row>
    <row r="33" spans="1:14" s="22" customFormat="1" ht="15.75" x14ac:dyDescent="0.25">
      <c r="A33" s="145" t="s">
        <v>742</v>
      </c>
      <c r="B33" s="134">
        <v>30</v>
      </c>
      <c r="C33" s="142">
        <v>6.0000000000000001E-3</v>
      </c>
      <c r="D33" s="143">
        <v>25</v>
      </c>
      <c r="E33" s="143">
        <v>10</v>
      </c>
      <c r="F33" s="143">
        <v>5</v>
      </c>
      <c r="G33" s="133">
        <v>10</v>
      </c>
      <c r="H33" s="111">
        <v>0.33</v>
      </c>
      <c r="I33" s="111">
        <v>0.25</v>
      </c>
      <c r="J33" s="111">
        <v>0.42</v>
      </c>
      <c r="K33" s="166">
        <v>20</v>
      </c>
      <c r="L33" s="166">
        <v>5</v>
      </c>
      <c r="M33" s="37"/>
    </row>
    <row r="34" spans="1:14" s="22" customFormat="1" ht="15.75" x14ac:dyDescent="0.25">
      <c r="A34" s="145" t="s">
        <v>743</v>
      </c>
      <c r="B34" s="134">
        <v>20</v>
      </c>
      <c r="C34" s="142">
        <v>4.0000000000000001E-3</v>
      </c>
      <c r="D34" s="143">
        <v>25</v>
      </c>
      <c r="E34" s="143">
        <v>10</v>
      </c>
      <c r="F34" s="143">
        <v>10</v>
      </c>
      <c r="G34" s="133">
        <v>0</v>
      </c>
      <c r="H34" s="111">
        <v>0.48</v>
      </c>
      <c r="I34" s="111">
        <v>0.52</v>
      </c>
      <c r="J34" s="111">
        <v>0</v>
      </c>
      <c r="K34" s="166">
        <v>15</v>
      </c>
      <c r="L34" s="166">
        <v>12</v>
      </c>
      <c r="M34" s="37"/>
    </row>
    <row r="35" spans="1:14" s="22" customFormat="1" ht="15.75" x14ac:dyDescent="0.25">
      <c r="A35" s="145" t="s">
        <v>744</v>
      </c>
      <c r="B35" s="134">
        <v>20</v>
      </c>
      <c r="C35" s="142">
        <v>3.0000000000000001E-3</v>
      </c>
      <c r="D35" s="143">
        <v>15</v>
      </c>
      <c r="E35" s="143">
        <v>10</v>
      </c>
      <c r="F35" s="143">
        <v>5</v>
      </c>
      <c r="G35" s="133">
        <v>0</v>
      </c>
      <c r="H35" s="111">
        <v>0.65</v>
      </c>
      <c r="I35" s="111">
        <v>0.35</v>
      </c>
      <c r="J35" s="111">
        <v>0</v>
      </c>
      <c r="K35" s="166">
        <v>15</v>
      </c>
      <c r="L35" s="166">
        <v>6</v>
      </c>
      <c r="M35" s="37"/>
    </row>
    <row r="36" spans="1:14" ht="15.75" x14ac:dyDescent="0.25">
      <c r="A36" s="64" t="s">
        <v>8</v>
      </c>
      <c r="B36" s="83"/>
      <c r="C36" s="83"/>
      <c r="D36" s="83"/>
      <c r="E36" s="83"/>
      <c r="F36" s="83"/>
      <c r="G36" s="83"/>
      <c r="H36" s="83"/>
      <c r="I36" s="83"/>
      <c r="J36" s="83"/>
      <c r="K36" s="83"/>
      <c r="L36" s="83"/>
      <c r="M36" s="27"/>
    </row>
    <row r="37" spans="1:14" ht="15.75" x14ac:dyDescent="0.25">
      <c r="A37" s="64" t="s">
        <v>64</v>
      </c>
      <c r="B37" s="27"/>
      <c r="C37" s="27"/>
      <c r="D37" s="27"/>
      <c r="E37" s="27"/>
      <c r="F37" s="27"/>
      <c r="G37" s="27"/>
      <c r="H37" s="27"/>
      <c r="I37" s="27"/>
      <c r="J37" s="27"/>
      <c r="K37" s="79"/>
      <c r="L37" s="27"/>
      <c r="M37" s="27"/>
    </row>
    <row r="38" spans="1:14" ht="15.75" x14ac:dyDescent="0.25">
      <c r="A38" s="37" t="s">
        <v>679</v>
      </c>
      <c r="B38" s="27"/>
      <c r="C38" s="27"/>
      <c r="D38" s="27"/>
      <c r="E38" s="27"/>
      <c r="F38" s="27"/>
      <c r="G38" s="27"/>
      <c r="H38" s="27"/>
      <c r="I38" s="27"/>
      <c r="J38" s="27"/>
      <c r="K38" s="27"/>
      <c r="L38" s="27"/>
      <c r="M38" s="27"/>
    </row>
    <row r="39" spans="1:14" ht="15.75" x14ac:dyDescent="0.25">
      <c r="A39" s="37" t="s">
        <v>678</v>
      </c>
      <c r="B39" s="27"/>
      <c r="C39" s="27"/>
      <c r="D39" s="27"/>
      <c r="E39" s="27"/>
      <c r="F39" s="27"/>
      <c r="G39" s="27"/>
      <c r="H39" s="27"/>
      <c r="I39" s="27"/>
      <c r="J39" s="27"/>
      <c r="K39" s="27"/>
      <c r="L39" s="27"/>
      <c r="M39" s="27"/>
      <c r="N39" s="27"/>
    </row>
    <row r="40" spans="1:14" ht="15.75" x14ac:dyDescent="0.25">
      <c r="A40" s="46" t="s">
        <v>680</v>
      </c>
      <c r="B40" s="27"/>
      <c r="C40" s="27"/>
      <c r="D40" s="27"/>
      <c r="E40" s="27"/>
      <c r="F40" s="27"/>
      <c r="G40" s="27"/>
      <c r="H40" s="27"/>
      <c r="I40" s="27"/>
      <c r="J40" s="27"/>
      <c r="K40" s="27"/>
      <c r="L40" s="27"/>
      <c r="M40" s="27"/>
      <c r="N40" s="27"/>
    </row>
    <row r="41" spans="1:14" ht="15.75" x14ac:dyDescent="0.25">
      <c r="A41" s="46" t="s">
        <v>681</v>
      </c>
      <c r="B41" s="22"/>
      <c r="C41" s="22"/>
      <c r="D41" s="22"/>
      <c r="E41" s="22"/>
      <c r="F41" s="22"/>
      <c r="G41" s="22"/>
      <c r="H41" s="22"/>
      <c r="I41" s="22"/>
      <c r="J41" s="22"/>
      <c r="K41" s="27"/>
      <c r="L41" s="27"/>
      <c r="M41" s="27"/>
      <c r="N41" s="27"/>
    </row>
    <row r="42" spans="1:14" ht="15.75" x14ac:dyDescent="0.25">
      <c r="A42" s="22"/>
      <c r="B42" s="22"/>
      <c r="C42" s="22"/>
      <c r="D42" s="22"/>
      <c r="E42" s="22"/>
      <c r="F42" s="22"/>
      <c r="G42" s="22"/>
      <c r="H42" s="22"/>
      <c r="I42" s="22"/>
      <c r="J42" s="22"/>
      <c r="K42" s="22"/>
      <c r="L42" s="22"/>
      <c r="M42" s="83"/>
      <c r="N42" s="27"/>
    </row>
    <row r="43" spans="1:14" ht="15.75" x14ac:dyDescent="0.25">
      <c r="A43" s="22"/>
      <c r="B43" s="22"/>
      <c r="C43" s="22"/>
      <c r="D43" s="22"/>
      <c r="E43" s="22"/>
      <c r="F43" s="22"/>
      <c r="G43" s="22"/>
      <c r="H43" s="22"/>
      <c r="I43" s="22"/>
      <c r="J43" s="22"/>
      <c r="K43" s="22"/>
      <c r="L43" s="22"/>
      <c r="M43" s="27"/>
      <c r="N43" s="27"/>
    </row>
    <row r="44" spans="1:14" ht="15.75" x14ac:dyDescent="0.25">
      <c r="A44" s="22"/>
      <c r="B44" s="22"/>
      <c r="C44" s="22"/>
      <c r="D44" s="22"/>
      <c r="E44" s="100"/>
      <c r="F44" s="22"/>
      <c r="G44" s="101"/>
      <c r="H44" s="22"/>
      <c r="I44" s="22"/>
      <c r="J44" s="22"/>
      <c r="K44" s="22"/>
      <c r="L44" s="22"/>
      <c r="M44" s="27"/>
      <c r="N44" s="27"/>
    </row>
    <row r="45" spans="1:14" ht="15.75" x14ac:dyDescent="0.25">
      <c r="A45" s="22"/>
      <c r="B45" s="22"/>
      <c r="C45" s="22"/>
      <c r="D45" s="22"/>
      <c r="E45" s="100"/>
      <c r="F45" s="22"/>
      <c r="G45" s="101"/>
      <c r="H45" s="22"/>
      <c r="I45" s="22"/>
      <c r="J45" s="22"/>
      <c r="K45" s="22"/>
      <c r="L45" s="22"/>
      <c r="M45" s="27"/>
      <c r="N45" s="27"/>
    </row>
    <row r="46" spans="1:14" ht="15.75" x14ac:dyDescent="0.25">
      <c r="C46" s="22"/>
      <c r="E46" s="100"/>
      <c r="G46" s="101"/>
      <c r="M46" s="27"/>
      <c r="N46" s="22"/>
    </row>
    <row r="47" spans="1:14" ht="15.75" x14ac:dyDescent="0.25">
      <c r="C47" s="22"/>
      <c r="E47" s="100"/>
      <c r="G47" s="101"/>
      <c r="M47" s="27"/>
      <c r="N47" s="22"/>
    </row>
    <row r="48" spans="1:14" ht="15.75" x14ac:dyDescent="0.25">
      <c r="C48" s="22"/>
      <c r="E48" s="100"/>
      <c r="G48" s="101"/>
      <c r="M48" s="27"/>
      <c r="N48" s="22"/>
    </row>
    <row r="49" spans="3:14" x14ac:dyDescent="0.25">
      <c r="C49" s="22"/>
      <c r="E49" s="100"/>
      <c r="M49" s="22"/>
      <c r="N49" s="22"/>
    </row>
    <row r="50" spans="3:14" x14ac:dyDescent="0.25">
      <c r="C50" s="22"/>
      <c r="M50" s="22"/>
      <c r="N50" s="22"/>
    </row>
    <row r="51" spans="3:14" x14ac:dyDescent="0.25">
      <c r="C51" s="22"/>
      <c r="M51" s="22"/>
      <c r="N51" s="22"/>
    </row>
    <row r="52" spans="3:14" x14ac:dyDescent="0.25">
      <c r="M52" s="22"/>
      <c r="N52" s="22"/>
    </row>
    <row r="53" spans="3:14" x14ac:dyDescent="0.25">
      <c r="M53" s="22"/>
      <c r="N53" s="22"/>
    </row>
  </sheetData>
  <sheetProtection sheet="1" objects="1" scenarios="1"/>
  <conditionalFormatting sqref="H36:L36 M6:M42">
    <cfRule type="dataBar" priority="81">
      <dataBar>
        <cfvo type="num" val="0"/>
        <cfvo type="num" val="1"/>
        <color theme="4" tint="-0.249977111117893"/>
      </dataBar>
      <extLst>
        <ext xmlns:x14="http://schemas.microsoft.com/office/spreadsheetml/2009/9/main" uri="{B025F937-C7B1-47D3-B67F-A62EFF666E3E}">
          <x14:id>{712CC88C-89F8-44A4-BBF7-6288089B2748}</x14:id>
        </ext>
      </extLst>
    </cfRule>
  </conditionalFormatting>
  <conditionalFormatting sqref="C7">
    <cfRule type="dataBar" priority="32">
      <dataBar>
        <cfvo type="num" val="0"/>
        <cfvo type="num" val="1"/>
        <color rgb="FFB4A9D4"/>
      </dataBar>
      <extLst>
        <ext xmlns:x14="http://schemas.microsoft.com/office/spreadsheetml/2009/9/main" uri="{B025F937-C7B1-47D3-B67F-A62EFF666E3E}">
          <x14:id>{3C4ADF9B-7FF2-4559-91F8-B24D030EFD39}</x14:id>
        </ext>
      </extLst>
    </cfRule>
  </conditionalFormatting>
  <conditionalFormatting sqref="C9:C26">
    <cfRule type="dataBar" priority="31">
      <dataBar>
        <cfvo type="num" val="0"/>
        <cfvo type="num" val="1"/>
        <color rgb="FFB4A9D4"/>
      </dataBar>
      <extLst>
        <ext xmlns:x14="http://schemas.microsoft.com/office/spreadsheetml/2009/9/main" uri="{B025F937-C7B1-47D3-B67F-A62EFF666E3E}">
          <x14:id>{E2594D55-2503-4C28-B0A0-CFFB2D783C10}</x14:id>
        </ext>
      </extLst>
    </cfRule>
  </conditionalFormatting>
  <conditionalFormatting sqref="H8">
    <cfRule type="dataBar" priority="30">
      <dataBar>
        <cfvo type="num" val="0"/>
        <cfvo type="num" val="1"/>
        <color rgb="FFB4A9D4"/>
      </dataBar>
      <extLst>
        <ext xmlns:x14="http://schemas.microsoft.com/office/spreadsheetml/2009/9/main" uri="{B025F937-C7B1-47D3-B67F-A62EFF666E3E}">
          <x14:id>{E8026882-AA25-4B93-873D-E2236AF78890}</x14:id>
        </ext>
      </extLst>
    </cfRule>
  </conditionalFormatting>
  <conditionalFormatting sqref="H7">
    <cfRule type="dataBar" priority="29">
      <dataBar>
        <cfvo type="num" val="0"/>
        <cfvo type="num" val="1"/>
        <color rgb="FFB4A9D4"/>
      </dataBar>
      <extLst>
        <ext xmlns:x14="http://schemas.microsoft.com/office/spreadsheetml/2009/9/main" uri="{B025F937-C7B1-47D3-B67F-A62EFF666E3E}">
          <x14:id>{AF045E75-26A4-4543-B26A-FA89E91072E2}</x14:id>
        </ext>
      </extLst>
    </cfRule>
  </conditionalFormatting>
  <conditionalFormatting sqref="H9:H26">
    <cfRule type="dataBar" priority="28">
      <dataBar>
        <cfvo type="num" val="0"/>
        <cfvo type="num" val="1"/>
        <color rgb="FFB4A9D4"/>
      </dataBar>
      <extLst>
        <ext xmlns:x14="http://schemas.microsoft.com/office/spreadsheetml/2009/9/main" uri="{B025F937-C7B1-47D3-B67F-A62EFF666E3E}">
          <x14:id>{D6F0A61F-898D-4BFB-9C23-22A02F87329D}</x14:id>
        </ext>
      </extLst>
    </cfRule>
  </conditionalFormatting>
  <conditionalFormatting sqref="I8">
    <cfRule type="dataBar" priority="27">
      <dataBar>
        <cfvo type="num" val="0"/>
        <cfvo type="num" val="1"/>
        <color rgb="FFB4A9D4"/>
      </dataBar>
      <extLst>
        <ext xmlns:x14="http://schemas.microsoft.com/office/spreadsheetml/2009/9/main" uri="{B025F937-C7B1-47D3-B67F-A62EFF666E3E}">
          <x14:id>{FC7869D2-79E1-4E8E-9937-BA5A5B8F8387}</x14:id>
        </ext>
      </extLst>
    </cfRule>
  </conditionalFormatting>
  <conditionalFormatting sqref="I7">
    <cfRule type="dataBar" priority="26">
      <dataBar>
        <cfvo type="num" val="0"/>
        <cfvo type="num" val="1"/>
        <color rgb="FFB4A9D4"/>
      </dataBar>
      <extLst>
        <ext xmlns:x14="http://schemas.microsoft.com/office/spreadsheetml/2009/9/main" uri="{B025F937-C7B1-47D3-B67F-A62EFF666E3E}">
          <x14:id>{FC407F6E-4B8C-458A-BBA8-0961E0F93C88}</x14:id>
        </ext>
      </extLst>
    </cfRule>
  </conditionalFormatting>
  <conditionalFormatting sqref="I9:I26">
    <cfRule type="dataBar" priority="25">
      <dataBar>
        <cfvo type="num" val="0"/>
        <cfvo type="num" val="1"/>
        <color rgb="FFB4A9D4"/>
      </dataBar>
      <extLst>
        <ext xmlns:x14="http://schemas.microsoft.com/office/spreadsheetml/2009/9/main" uri="{B025F937-C7B1-47D3-B67F-A62EFF666E3E}">
          <x14:id>{6891145B-781A-45E5-B8F2-18ADFCFC6461}</x14:id>
        </ext>
      </extLst>
    </cfRule>
  </conditionalFormatting>
  <conditionalFormatting sqref="J8">
    <cfRule type="dataBar" priority="24">
      <dataBar>
        <cfvo type="num" val="0"/>
        <cfvo type="num" val="1"/>
        <color rgb="FFB4A9D4"/>
      </dataBar>
      <extLst>
        <ext xmlns:x14="http://schemas.microsoft.com/office/spreadsheetml/2009/9/main" uri="{B025F937-C7B1-47D3-B67F-A62EFF666E3E}">
          <x14:id>{A9A9E421-FCDA-469C-BB4C-23CE88C5537A}</x14:id>
        </ext>
      </extLst>
    </cfRule>
  </conditionalFormatting>
  <conditionalFormatting sqref="J7">
    <cfRule type="dataBar" priority="23">
      <dataBar>
        <cfvo type="num" val="0"/>
        <cfvo type="num" val="1"/>
        <color rgb="FFB4A9D4"/>
      </dataBar>
      <extLst>
        <ext xmlns:x14="http://schemas.microsoft.com/office/spreadsheetml/2009/9/main" uri="{B025F937-C7B1-47D3-B67F-A62EFF666E3E}">
          <x14:id>{EF3D8585-00A9-47A0-840D-F0817180E7D8}</x14:id>
        </ext>
      </extLst>
    </cfRule>
  </conditionalFormatting>
  <conditionalFormatting sqref="J9:J26">
    <cfRule type="dataBar" priority="22">
      <dataBar>
        <cfvo type="num" val="0"/>
        <cfvo type="num" val="1"/>
        <color rgb="FFB4A9D4"/>
      </dataBar>
      <extLst>
        <ext xmlns:x14="http://schemas.microsoft.com/office/spreadsheetml/2009/9/main" uri="{B025F937-C7B1-47D3-B67F-A62EFF666E3E}">
          <x14:id>{E0864012-CA20-4567-A105-1AACDE9F576C}</x14:id>
        </ext>
      </extLst>
    </cfRule>
  </conditionalFormatting>
  <conditionalFormatting sqref="C30:C32">
    <cfRule type="dataBar" priority="21">
      <dataBar>
        <cfvo type="num" val="0"/>
        <cfvo type="num" val="1"/>
        <color rgb="FFB4A9D4"/>
      </dataBar>
      <extLst>
        <ext xmlns:x14="http://schemas.microsoft.com/office/spreadsheetml/2009/9/main" uri="{B025F937-C7B1-47D3-B67F-A62EFF666E3E}">
          <x14:id>{0BBD7CF2-D78E-4CF1-97FE-1D6AEB53C69F}</x14:id>
        </ext>
      </extLst>
    </cfRule>
  </conditionalFormatting>
  <conditionalFormatting sqref="H30:J31 I32">
    <cfRule type="dataBar" priority="20">
      <dataBar>
        <cfvo type="num" val="0"/>
        <cfvo type="num" val="1"/>
        <color rgb="FFB4A9D4"/>
      </dataBar>
      <extLst>
        <ext xmlns:x14="http://schemas.microsoft.com/office/spreadsheetml/2009/9/main" uri="{B025F937-C7B1-47D3-B67F-A62EFF666E3E}">
          <x14:id>{E583E729-32E7-49E6-B6A4-663BCB1BCC93}</x14:id>
        </ext>
      </extLst>
    </cfRule>
  </conditionalFormatting>
  <conditionalFormatting sqref="C27:C29">
    <cfRule type="dataBar" priority="17">
      <dataBar>
        <cfvo type="num" val="0"/>
        <cfvo type="num" val="1"/>
        <color rgb="FFB4A9D4"/>
      </dataBar>
      <extLst>
        <ext xmlns:x14="http://schemas.microsoft.com/office/spreadsheetml/2009/9/main" uri="{B025F937-C7B1-47D3-B67F-A62EFF666E3E}">
          <x14:id>{BCD8DD74-D029-4B5F-8D08-647FEF988230}</x14:id>
        </ext>
      </extLst>
    </cfRule>
  </conditionalFormatting>
  <conditionalFormatting sqref="H27:H29">
    <cfRule type="dataBar" priority="16">
      <dataBar>
        <cfvo type="num" val="0"/>
        <cfvo type="num" val="1"/>
        <color rgb="FFB4A9D4"/>
      </dataBar>
      <extLst>
        <ext xmlns:x14="http://schemas.microsoft.com/office/spreadsheetml/2009/9/main" uri="{B025F937-C7B1-47D3-B67F-A62EFF666E3E}">
          <x14:id>{4FD8B8D1-1E69-4C3D-8BA3-D136DB7F3F10}</x14:id>
        </ext>
      </extLst>
    </cfRule>
  </conditionalFormatting>
  <conditionalFormatting sqref="I27:I29">
    <cfRule type="dataBar" priority="15">
      <dataBar>
        <cfvo type="num" val="0"/>
        <cfvo type="num" val="1"/>
        <color rgb="FFB4A9D4"/>
      </dataBar>
      <extLst>
        <ext xmlns:x14="http://schemas.microsoft.com/office/spreadsheetml/2009/9/main" uri="{B025F937-C7B1-47D3-B67F-A62EFF666E3E}">
          <x14:id>{A8AC0CC9-5D20-426D-AF9B-53FFD68BFB3F}</x14:id>
        </ext>
      </extLst>
    </cfRule>
  </conditionalFormatting>
  <conditionalFormatting sqref="J27:J29">
    <cfRule type="dataBar" priority="14">
      <dataBar>
        <cfvo type="num" val="0"/>
        <cfvo type="num" val="1"/>
        <color rgb="FFB4A9D4"/>
      </dataBar>
      <extLst>
        <ext xmlns:x14="http://schemas.microsoft.com/office/spreadsheetml/2009/9/main" uri="{B025F937-C7B1-47D3-B67F-A62EFF666E3E}">
          <x14:id>{D11A2CBE-AFBA-4CCE-BC4F-75910F29B075}</x14:id>
        </ext>
      </extLst>
    </cfRule>
  </conditionalFormatting>
  <conditionalFormatting sqref="J32">
    <cfRule type="dataBar" priority="12">
      <dataBar>
        <cfvo type="num" val="0"/>
        <cfvo type="num" val="1"/>
        <color rgb="FFB4A9D4"/>
      </dataBar>
      <extLst>
        <ext xmlns:x14="http://schemas.microsoft.com/office/spreadsheetml/2009/9/main" uri="{B025F937-C7B1-47D3-B67F-A62EFF666E3E}">
          <x14:id>{3DE31A83-DD61-4539-A028-C69CC90BA6DD}</x14:id>
        </ext>
      </extLst>
    </cfRule>
  </conditionalFormatting>
  <conditionalFormatting sqref="H32">
    <cfRule type="dataBar" priority="11">
      <dataBar>
        <cfvo type="num" val="0"/>
        <cfvo type="num" val="1"/>
        <color rgb="FFB4A9D4"/>
      </dataBar>
      <extLst>
        <ext xmlns:x14="http://schemas.microsoft.com/office/spreadsheetml/2009/9/main" uri="{B025F937-C7B1-47D3-B67F-A62EFF666E3E}">
          <x14:id>{FC570A36-C338-4ED1-A581-E971F76E0218}</x14:id>
        </ext>
      </extLst>
    </cfRule>
  </conditionalFormatting>
  <conditionalFormatting sqref="C33">
    <cfRule type="dataBar" priority="9">
      <dataBar>
        <cfvo type="num" val="0"/>
        <cfvo type="num" val="1"/>
        <color rgb="FFB4A9D4"/>
      </dataBar>
      <extLst>
        <ext xmlns:x14="http://schemas.microsoft.com/office/spreadsheetml/2009/9/main" uri="{B025F937-C7B1-47D3-B67F-A62EFF666E3E}">
          <x14:id>{7AE165CC-9033-4D1E-8077-77199BD15268}</x14:id>
        </ext>
      </extLst>
    </cfRule>
  </conditionalFormatting>
  <conditionalFormatting sqref="H33">
    <cfRule type="dataBar" priority="8">
      <dataBar>
        <cfvo type="num" val="0"/>
        <cfvo type="num" val="1"/>
        <color rgb="FFB4A9D4"/>
      </dataBar>
      <extLst>
        <ext xmlns:x14="http://schemas.microsoft.com/office/spreadsheetml/2009/9/main" uri="{B025F937-C7B1-47D3-B67F-A62EFF666E3E}">
          <x14:id>{54CB2BCA-F561-4518-8C81-E7E0D38B870E}</x14:id>
        </ext>
      </extLst>
    </cfRule>
  </conditionalFormatting>
  <conditionalFormatting sqref="I33">
    <cfRule type="dataBar" priority="7">
      <dataBar>
        <cfvo type="num" val="0"/>
        <cfvo type="num" val="1"/>
        <color rgb="FFB4A9D4"/>
      </dataBar>
      <extLst>
        <ext xmlns:x14="http://schemas.microsoft.com/office/spreadsheetml/2009/9/main" uri="{B025F937-C7B1-47D3-B67F-A62EFF666E3E}">
          <x14:id>{3B652FD2-347B-4AB1-9F55-EBA3AA0B9472}</x14:id>
        </ext>
      </extLst>
    </cfRule>
  </conditionalFormatting>
  <conditionalFormatting sqref="J33">
    <cfRule type="dataBar" priority="6">
      <dataBar>
        <cfvo type="num" val="0"/>
        <cfvo type="num" val="1"/>
        <color rgb="FFB4A9D4"/>
      </dataBar>
      <extLst>
        <ext xmlns:x14="http://schemas.microsoft.com/office/spreadsheetml/2009/9/main" uri="{B025F937-C7B1-47D3-B67F-A62EFF666E3E}">
          <x14:id>{5CAD3CC3-DE7F-4A37-BAE1-A4C7C613E5BA}</x14:id>
        </ext>
      </extLst>
    </cfRule>
  </conditionalFormatting>
  <conditionalFormatting sqref="C34:C35">
    <cfRule type="dataBar" priority="5">
      <dataBar>
        <cfvo type="num" val="0"/>
        <cfvo type="num" val="1"/>
        <color rgb="FFB4A9D4"/>
      </dataBar>
      <extLst>
        <ext xmlns:x14="http://schemas.microsoft.com/office/spreadsheetml/2009/9/main" uri="{B025F937-C7B1-47D3-B67F-A62EFF666E3E}">
          <x14:id>{1D08C848-A8DE-4B27-BE74-2A9CFFC290FB}</x14:id>
        </ext>
      </extLst>
    </cfRule>
  </conditionalFormatting>
  <conditionalFormatting sqref="H34:H35">
    <cfRule type="dataBar" priority="4">
      <dataBar>
        <cfvo type="num" val="0"/>
        <cfvo type="num" val="1"/>
        <color rgb="FFB4A9D4"/>
      </dataBar>
      <extLst>
        <ext xmlns:x14="http://schemas.microsoft.com/office/spreadsheetml/2009/9/main" uri="{B025F937-C7B1-47D3-B67F-A62EFF666E3E}">
          <x14:id>{E21E960E-EEAF-4FE6-A1FF-193271F99DDF}</x14:id>
        </ext>
      </extLst>
    </cfRule>
  </conditionalFormatting>
  <conditionalFormatting sqref="I34:I35">
    <cfRule type="dataBar" priority="3">
      <dataBar>
        <cfvo type="num" val="0"/>
        <cfvo type="num" val="1"/>
        <color rgb="FFB4A9D4"/>
      </dataBar>
      <extLst>
        <ext xmlns:x14="http://schemas.microsoft.com/office/spreadsheetml/2009/9/main" uri="{B025F937-C7B1-47D3-B67F-A62EFF666E3E}">
          <x14:id>{B3EF516C-7D6B-46CE-8224-331C0702C2D0}</x14:id>
        </ext>
      </extLst>
    </cfRule>
  </conditionalFormatting>
  <conditionalFormatting sqref="J34:J35">
    <cfRule type="dataBar" priority="2">
      <dataBar>
        <cfvo type="num" val="0"/>
        <cfvo type="num" val="1"/>
        <color rgb="FFB4A9D4"/>
      </dataBar>
      <extLst>
        <ext xmlns:x14="http://schemas.microsoft.com/office/spreadsheetml/2009/9/main" uri="{B025F937-C7B1-47D3-B67F-A62EFF666E3E}">
          <x14:id>{78AD09A1-C91C-4C56-B100-EB23248F0EC0}</x14:id>
        </ext>
      </extLst>
    </cfRule>
  </conditionalFormatting>
  <conditionalFormatting sqref="H6:L6">
    <cfRule type="dataBar" priority="1">
      <dataBar>
        <cfvo type="num" val="0"/>
        <cfvo type="num" val="1"/>
        <color theme="4" tint="-0.249977111117893"/>
      </dataBar>
      <extLst>
        <ext xmlns:x14="http://schemas.microsoft.com/office/spreadsheetml/2009/9/main" uri="{B025F937-C7B1-47D3-B67F-A62EFF666E3E}">
          <x14:id>{441EA5F3-964A-472F-9EDE-1A645F583943}</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12CC88C-89F8-44A4-BBF7-6288089B2748}">
            <x14:dataBar minLength="0" maxLength="100" border="1">
              <x14:cfvo type="num">
                <xm:f>0</xm:f>
              </x14:cfvo>
              <x14:cfvo type="num">
                <xm:f>1</xm:f>
              </x14:cfvo>
              <x14:borderColor theme="8" tint="0.39997558519241921"/>
              <x14:negativeFillColor rgb="FFFF0000"/>
              <x14:axisColor rgb="FF000000"/>
            </x14:dataBar>
          </x14:cfRule>
          <xm:sqref>H36:L36 M6:M42</xm:sqref>
        </x14:conditionalFormatting>
        <x14:conditionalFormatting xmlns:xm="http://schemas.microsoft.com/office/excel/2006/main">
          <x14:cfRule type="dataBar" id="{3C4ADF9B-7FF2-4559-91F8-B24D030EFD39}">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E2594D55-2503-4C28-B0A0-CFFB2D783C10}">
            <x14:dataBar minLength="0" maxLength="100" gradient="0">
              <x14:cfvo type="num">
                <xm:f>0</xm:f>
              </x14:cfvo>
              <x14:cfvo type="num">
                <xm:f>1</xm:f>
              </x14:cfvo>
              <x14:negativeFillColor rgb="FFFF0000"/>
              <x14:axisColor rgb="FF000000"/>
            </x14:dataBar>
          </x14:cfRule>
          <xm:sqref>C9:C26</xm:sqref>
        </x14:conditionalFormatting>
        <x14:conditionalFormatting xmlns:xm="http://schemas.microsoft.com/office/excel/2006/main">
          <x14:cfRule type="dataBar" id="{E8026882-AA25-4B93-873D-E2236AF78890}">
            <x14:dataBar minLength="0" maxLength="100" gradient="0">
              <x14:cfvo type="num">
                <xm:f>0</xm:f>
              </x14:cfvo>
              <x14:cfvo type="num">
                <xm:f>1</xm:f>
              </x14:cfvo>
              <x14:negativeFillColor rgb="FFFF0000"/>
              <x14:axisColor rgb="FF000000"/>
            </x14:dataBar>
          </x14:cfRule>
          <xm:sqref>H8</xm:sqref>
        </x14:conditionalFormatting>
        <x14:conditionalFormatting xmlns:xm="http://schemas.microsoft.com/office/excel/2006/main">
          <x14:cfRule type="dataBar" id="{AF045E75-26A4-4543-B26A-FA89E91072E2}">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D6F0A61F-898D-4BFB-9C23-22A02F87329D}">
            <x14:dataBar minLength="0" maxLength="100" gradient="0">
              <x14:cfvo type="num">
                <xm:f>0</xm:f>
              </x14:cfvo>
              <x14:cfvo type="num">
                <xm:f>1</xm:f>
              </x14:cfvo>
              <x14:negativeFillColor rgb="FFFF0000"/>
              <x14:axisColor rgb="FF000000"/>
            </x14:dataBar>
          </x14:cfRule>
          <xm:sqref>H9:H26</xm:sqref>
        </x14:conditionalFormatting>
        <x14:conditionalFormatting xmlns:xm="http://schemas.microsoft.com/office/excel/2006/main">
          <x14:cfRule type="dataBar" id="{FC7869D2-79E1-4E8E-9937-BA5A5B8F8387}">
            <x14:dataBar minLength="0" maxLength="100" gradient="0">
              <x14:cfvo type="num">
                <xm:f>0</xm:f>
              </x14:cfvo>
              <x14:cfvo type="num">
                <xm:f>1</xm:f>
              </x14:cfvo>
              <x14:negativeFillColor rgb="FFFF0000"/>
              <x14:axisColor rgb="FF000000"/>
            </x14:dataBar>
          </x14:cfRule>
          <xm:sqref>I8</xm:sqref>
        </x14:conditionalFormatting>
        <x14:conditionalFormatting xmlns:xm="http://schemas.microsoft.com/office/excel/2006/main">
          <x14:cfRule type="dataBar" id="{FC407F6E-4B8C-458A-BBA8-0961E0F93C88}">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6891145B-781A-45E5-B8F2-18ADFCFC6461}">
            <x14:dataBar minLength="0" maxLength="100" gradient="0">
              <x14:cfvo type="num">
                <xm:f>0</xm:f>
              </x14:cfvo>
              <x14:cfvo type="num">
                <xm:f>1</xm:f>
              </x14:cfvo>
              <x14:negativeFillColor rgb="FFFF0000"/>
              <x14:axisColor rgb="FF000000"/>
            </x14:dataBar>
          </x14:cfRule>
          <xm:sqref>I9:I26</xm:sqref>
        </x14:conditionalFormatting>
        <x14:conditionalFormatting xmlns:xm="http://schemas.microsoft.com/office/excel/2006/main">
          <x14:cfRule type="dataBar" id="{A9A9E421-FCDA-469C-BB4C-23CE88C5537A}">
            <x14:dataBar minLength="0" maxLength="100" gradient="0">
              <x14:cfvo type="num">
                <xm:f>0</xm:f>
              </x14:cfvo>
              <x14:cfvo type="num">
                <xm:f>1</xm:f>
              </x14:cfvo>
              <x14:negativeFillColor rgb="FFFF0000"/>
              <x14:axisColor rgb="FF000000"/>
            </x14:dataBar>
          </x14:cfRule>
          <xm:sqref>J8</xm:sqref>
        </x14:conditionalFormatting>
        <x14:conditionalFormatting xmlns:xm="http://schemas.microsoft.com/office/excel/2006/main">
          <x14:cfRule type="dataBar" id="{EF3D8585-00A9-47A0-840D-F0817180E7D8}">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E0864012-CA20-4567-A105-1AACDE9F576C}">
            <x14:dataBar minLength="0" maxLength="100" gradient="0">
              <x14:cfvo type="num">
                <xm:f>0</xm:f>
              </x14:cfvo>
              <x14:cfvo type="num">
                <xm:f>1</xm:f>
              </x14:cfvo>
              <x14:negativeFillColor rgb="FFFF0000"/>
              <x14:axisColor rgb="FF000000"/>
            </x14:dataBar>
          </x14:cfRule>
          <xm:sqref>J9:J26</xm:sqref>
        </x14:conditionalFormatting>
        <x14:conditionalFormatting xmlns:xm="http://schemas.microsoft.com/office/excel/2006/main">
          <x14:cfRule type="dataBar" id="{0BBD7CF2-D78E-4CF1-97FE-1D6AEB53C69F}">
            <x14:dataBar minLength="0" maxLength="100" gradient="0">
              <x14:cfvo type="num">
                <xm:f>0</xm:f>
              </x14:cfvo>
              <x14:cfvo type="num">
                <xm:f>1</xm:f>
              </x14:cfvo>
              <x14:negativeFillColor rgb="FFFF0000"/>
              <x14:axisColor rgb="FF000000"/>
            </x14:dataBar>
          </x14:cfRule>
          <xm:sqref>C30:C32</xm:sqref>
        </x14:conditionalFormatting>
        <x14:conditionalFormatting xmlns:xm="http://schemas.microsoft.com/office/excel/2006/main">
          <x14:cfRule type="dataBar" id="{E583E729-32E7-49E6-B6A4-663BCB1BCC93}">
            <x14:dataBar minLength="0" maxLength="100" gradient="0">
              <x14:cfvo type="num">
                <xm:f>0</xm:f>
              </x14:cfvo>
              <x14:cfvo type="num">
                <xm:f>1</xm:f>
              </x14:cfvo>
              <x14:negativeFillColor rgb="FFFF0000"/>
              <x14:axisColor rgb="FF000000"/>
            </x14:dataBar>
          </x14:cfRule>
          <xm:sqref>H30:J31 I32</xm:sqref>
        </x14:conditionalFormatting>
        <x14:conditionalFormatting xmlns:xm="http://schemas.microsoft.com/office/excel/2006/main">
          <x14:cfRule type="dataBar" id="{BCD8DD74-D029-4B5F-8D08-647FEF988230}">
            <x14:dataBar minLength="0" maxLength="100" gradient="0">
              <x14:cfvo type="num">
                <xm:f>0</xm:f>
              </x14:cfvo>
              <x14:cfvo type="num">
                <xm:f>1</xm:f>
              </x14:cfvo>
              <x14:negativeFillColor rgb="FFFF0000"/>
              <x14:axisColor rgb="FF000000"/>
            </x14:dataBar>
          </x14:cfRule>
          <xm:sqref>C27:C29</xm:sqref>
        </x14:conditionalFormatting>
        <x14:conditionalFormatting xmlns:xm="http://schemas.microsoft.com/office/excel/2006/main">
          <x14:cfRule type="dataBar" id="{4FD8B8D1-1E69-4C3D-8BA3-D136DB7F3F10}">
            <x14:dataBar minLength="0" maxLength="100" gradient="0">
              <x14:cfvo type="num">
                <xm:f>0</xm:f>
              </x14:cfvo>
              <x14:cfvo type="num">
                <xm:f>1</xm:f>
              </x14:cfvo>
              <x14:negativeFillColor rgb="FFFF0000"/>
              <x14:axisColor rgb="FF000000"/>
            </x14:dataBar>
          </x14:cfRule>
          <xm:sqref>H27:H29</xm:sqref>
        </x14:conditionalFormatting>
        <x14:conditionalFormatting xmlns:xm="http://schemas.microsoft.com/office/excel/2006/main">
          <x14:cfRule type="dataBar" id="{A8AC0CC9-5D20-426D-AF9B-53FFD68BFB3F}">
            <x14:dataBar minLength="0" maxLength="100" gradient="0">
              <x14:cfvo type="num">
                <xm:f>0</xm:f>
              </x14:cfvo>
              <x14:cfvo type="num">
                <xm:f>1</xm:f>
              </x14:cfvo>
              <x14:negativeFillColor rgb="FFFF0000"/>
              <x14:axisColor rgb="FF000000"/>
            </x14:dataBar>
          </x14:cfRule>
          <xm:sqref>I27:I29</xm:sqref>
        </x14:conditionalFormatting>
        <x14:conditionalFormatting xmlns:xm="http://schemas.microsoft.com/office/excel/2006/main">
          <x14:cfRule type="dataBar" id="{D11A2CBE-AFBA-4CCE-BC4F-75910F29B075}">
            <x14:dataBar minLength="0" maxLength="100" gradient="0">
              <x14:cfvo type="num">
                <xm:f>0</xm:f>
              </x14:cfvo>
              <x14:cfvo type="num">
                <xm:f>1</xm:f>
              </x14:cfvo>
              <x14:negativeFillColor rgb="FFFF0000"/>
              <x14:axisColor rgb="FF000000"/>
            </x14:dataBar>
          </x14:cfRule>
          <xm:sqref>J27:J29</xm:sqref>
        </x14:conditionalFormatting>
        <x14:conditionalFormatting xmlns:xm="http://schemas.microsoft.com/office/excel/2006/main">
          <x14:cfRule type="dataBar" id="{3DE31A83-DD61-4539-A028-C69CC90BA6DD}">
            <x14:dataBar minLength="0" maxLength="100" gradient="0">
              <x14:cfvo type="num">
                <xm:f>0</xm:f>
              </x14:cfvo>
              <x14:cfvo type="num">
                <xm:f>1</xm:f>
              </x14:cfvo>
              <x14:negativeFillColor rgb="FFFF0000"/>
              <x14:axisColor rgb="FF000000"/>
            </x14:dataBar>
          </x14:cfRule>
          <xm:sqref>J32</xm:sqref>
        </x14:conditionalFormatting>
        <x14:conditionalFormatting xmlns:xm="http://schemas.microsoft.com/office/excel/2006/main">
          <x14:cfRule type="dataBar" id="{FC570A36-C338-4ED1-A581-E971F76E0218}">
            <x14:dataBar minLength="0" maxLength="100" gradient="0">
              <x14:cfvo type="num">
                <xm:f>0</xm:f>
              </x14:cfvo>
              <x14:cfvo type="num">
                <xm:f>1</xm:f>
              </x14:cfvo>
              <x14:negativeFillColor rgb="FFFF0000"/>
              <x14:axisColor rgb="FF000000"/>
            </x14:dataBar>
          </x14:cfRule>
          <xm:sqref>H32</xm:sqref>
        </x14:conditionalFormatting>
        <x14:conditionalFormatting xmlns:xm="http://schemas.microsoft.com/office/excel/2006/main">
          <x14:cfRule type="dataBar" id="{7AE165CC-9033-4D1E-8077-77199BD15268}">
            <x14:dataBar minLength="0" maxLength="100" gradient="0">
              <x14:cfvo type="num">
                <xm:f>0</xm:f>
              </x14:cfvo>
              <x14:cfvo type="num">
                <xm:f>1</xm:f>
              </x14:cfvo>
              <x14:negativeFillColor rgb="FFFF0000"/>
              <x14:axisColor rgb="FF000000"/>
            </x14:dataBar>
          </x14:cfRule>
          <xm:sqref>C33</xm:sqref>
        </x14:conditionalFormatting>
        <x14:conditionalFormatting xmlns:xm="http://schemas.microsoft.com/office/excel/2006/main">
          <x14:cfRule type="dataBar" id="{54CB2BCA-F561-4518-8C81-E7E0D38B870E}">
            <x14:dataBar minLength="0" maxLength="100" gradient="0">
              <x14:cfvo type="num">
                <xm:f>0</xm:f>
              </x14:cfvo>
              <x14:cfvo type="num">
                <xm:f>1</xm:f>
              </x14:cfvo>
              <x14:negativeFillColor rgb="FFFF0000"/>
              <x14:axisColor rgb="FF000000"/>
            </x14:dataBar>
          </x14:cfRule>
          <xm:sqref>H33</xm:sqref>
        </x14:conditionalFormatting>
        <x14:conditionalFormatting xmlns:xm="http://schemas.microsoft.com/office/excel/2006/main">
          <x14:cfRule type="dataBar" id="{3B652FD2-347B-4AB1-9F55-EBA3AA0B9472}">
            <x14:dataBar minLength="0" maxLength="100" gradient="0">
              <x14:cfvo type="num">
                <xm:f>0</xm:f>
              </x14:cfvo>
              <x14:cfvo type="num">
                <xm:f>1</xm:f>
              </x14:cfvo>
              <x14:negativeFillColor rgb="FFFF0000"/>
              <x14:axisColor rgb="FF000000"/>
            </x14:dataBar>
          </x14:cfRule>
          <xm:sqref>I33</xm:sqref>
        </x14:conditionalFormatting>
        <x14:conditionalFormatting xmlns:xm="http://schemas.microsoft.com/office/excel/2006/main">
          <x14:cfRule type="dataBar" id="{5CAD3CC3-DE7F-4A37-BAE1-A4C7C613E5BA}">
            <x14:dataBar minLength="0" maxLength="100" gradient="0">
              <x14:cfvo type="num">
                <xm:f>0</xm:f>
              </x14:cfvo>
              <x14:cfvo type="num">
                <xm:f>1</xm:f>
              </x14:cfvo>
              <x14:negativeFillColor rgb="FFFF0000"/>
              <x14:axisColor rgb="FF000000"/>
            </x14:dataBar>
          </x14:cfRule>
          <xm:sqref>J33</xm:sqref>
        </x14:conditionalFormatting>
        <x14:conditionalFormatting xmlns:xm="http://schemas.microsoft.com/office/excel/2006/main">
          <x14:cfRule type="dataBar" id="{1D08C848-A8DE-4B27-BE74-2A9CFFC290FB}">
            <x14:dataBar minLength="0" maxLength="100" gradient="0">
              <x14:cfvo type="num">
                <xm:f>0</xm:f>
              </x14:cfvo>
              <x14:cfvo type="num">
                <xm:f>1</xm:f>
              </x14:cfvo>
              <x14:negativeFillColor rgb="FFFF0000"/>
              <x14:axisColor rgb="FF000000"/>
            </x14:dataBar>
          </x14:cfRule>
          <xm:sqref>C34:C35</xm:sqref>
        </x14:conditionalFormatting>
        <x14:conditionalFormatting xmlns:xm="http://schemas.microsoft.com/office/excel/2006/main">
          <x14:cfRule type="dataBar" id="{E21E960E-EEAF-4FE6-A1FF-193271F99DDF}">
            <x14:dataBar minLength="0" maxLength="100" gradient="0">
              <x14:cfvo type="num">
                <xm:f>0</xm:f>
              </x14:cfvo>
              <x14:cfvo type="num">
                <xm:f>1</xm:f>
              </x14:cfvo>
              <x14:negativeFillColor rgb="FFFF0000"/>
              <x14:axisColor rgb="FF000000"/>
            </x14:dataBar>
          </x14:cfRule>
          <xm:sqref>H34:H35</xm:sqref>
        </x14:conditionalFormatting>
        <x14:conditionalFormatting xmlns:xm="http://schemas.microsoft.com/office/excel/2006/main">
          <x14:cfRule type="dataBar" id="{B3EF516C-7D6B-46CE-8224-331C0702C2D0}">
            <x14:dataBar minLength="0" maxLength="100" gradient="0">
              <x14:cfvo type="num">
                <xm:f>0</xm:f>
              </x14:cfvo>
              <x14:cfvo type="num">
                <xm:f>1</xm:f>
              </x14:cfvo>
              <x14:negativeFillColor rgb="FFFF0000"/>
              <x14:axisColor rgb="FF000000"/>
            </x14:dataBar>
          </x14:cfRule>
          <xm:sqref>I34:I35</xm:sqref>
        </x14:conditionalFormatting>
        <x14:conditionalFormatting xmlns:xm="http://schemas.microsoft.com/office/excel/2006/main">
          <x14:cfRule type="dataBar" id="{78AD09A1-C91C-4C56-B100-EB23248F0EC0}">
            <x14:dataBar minLength="0" maxLength="100" gradient="0">
              <x14:cfvo type="num">
                <xm:f>0</xm:f>
              </x14:cfvo>
              <x14:cfvo type="num">
                <xm:f>1</xm:f>
              </x14:cfvo>
              <x14:negativeFillColor rgb="FFFF0000"/>
              <x14:axisColor rgb="FF000000"/>
            </x14:dataBar>
          </x14:cfRule>
          <xm:sqref>J34:J35</xm:sqref>
        </x14:conditionalFormatting>
        <x14:conditionalFormatting xmlns:xm="http://schemas.microsoft.com/office/excel/2006/main">
          <x14:cfRule type="dataBar" id="{441EA5F3-964A-472F-9EDE-1A645F583943}">
            <x14:dataBar minLength="0" maxLength="100" border="1">
              <x14:cfvo type="num">
                <xm:f>0</xm:f>
              </x14:cfvo>
              <x14:cfvo type="num">
                <xm:f>1</xm:f>
              </x14:cfvo>
              <x14:borderColor theme="8" tint="0.39997558519241921"/>
              <x14:negativeFillColor rgb="FFFF0000"/>
              <x14:axisColor rgb="FF000000"/>
            </x14:dataBar>
          </x14:cfRule>
          <xm:sqref>H6:L6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3"/>
  <sheetViews>
    <sheetView zoomScale="75" zoomScaleNormal="75" workbookViewId="0"/>
  </sheetViews>
  <sheetFormatPr defaultRowHeight="15" x14ac:dyDescent="0.25"/>
  <cols>
    <col min="1" max="1" width="87.5703125" customWidth="1"/>
  </cols>
  <sheetData>
    <row r="1" spans="1:1" ht="21" x14ac:dyDescent="0.35">
      <c r="A1" s="31" t="s">
        <v>19</v>
      </c>
    </row>
    <row r="2" spans="1:1" ht="15.75" x14ac:dyDescent="0.25">
      <c r="A2" s="37" t="s">
        <v>775</v>
      </c>
    </row>
    <row r="3" spans="1:1" ht="63" customHeight="1" x14ac:dyDescent="0.25">
      <c r="A3" s="29" t="s">
        <v>776</v>
      </c>
    </row>
  </sheetData>
  <sheetProtection sheet="1" objects="1" scenarios="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42"/>
  <sheetViews>
    <sheetView zoomScale="75" zoomScaleNormal="75" workbookViewId="0"/>
  </sheetViews>
  <sheetFormatPr defaultRowHeight="15" x14ac:dyDescent="0.25"/>
  <cols>
    <col min="1" max="1" width="91.85546875" customWidth="1"/>
    <col min="2" max="2" width="11.85546875" customWidth="1"/>
    <col min="3" max="3" width="10.85546875" customWidth="1"/>
    <col min="4" max="4" width="11.5703125" customWidth="1"/>
  </cols>
  <sheetData>
    <row r="1" spans="1:4" ht="21" x14ac:dyDescent="0.35">
      <c r="A1" s="31" t="s">
        <v>36</v>
      </c>
    </row>
    <row r="2" spans="1:4" ht="15.75" x14ac:dyDescent="0.25">
      <c r="A2" s="37" t="s">
        <v>775</v>
      </c>
      <c r="B2" s="5"/>
    </row>
    <row r="3" spans="1:4" ht="80.45" customHeight="1" x14ac:dyDescent="0.25">
      <c r="A3" s="29" t="s">
        <v>780</v>
      </c>
      <c r="B3" s="4"/>
      <c r="C3" s="3"/>
      <c r="D3" s="4"/>
    </row>
    <row r="4" spans="1:4" x14ac:dyDescent="0.25">
      <c r="A4" s="4"/>
    </row>
    <row r="5" spans="1:4" x14ac:dyDescent="0.25">
      <c r="A5" s="4"/>
      <c r="B5" s="4"/>
      <c r="C5" s="3"/>
      <c r="D5" s="4"/>
    </row>
    <row r="6" spans="1:4" x14ac:dyDescent="0.25">
      <c r="A6" s="4"/>
      <c r="B6" s="4"/>
      <c r="C6" s="4"/>
      <c r="D6" s="3"/>
    </row>
    <row r="7" spans="1:4" x14ac:dyDescent="0.25">
      <c r="A7" s="4"/>
      <c r="B7" s="4"/>
      <c r="C7" s="4"/>
    </row>
    <row r="8" spans="1:4" x14ac:dyDescent="0.25">
      <c r="C8" s="4"/>
    </row>
    <row r="9" spans="1:4" x14ac:dyDescent="0.25">
      <c r="C9" s="4"/>
    </row>
    <row r="10" spans="1:4" x14ac:dyDescent="0.25">
      <c r="C10" s="4"/>
    </row>
    <row r="11" spans="1:4" x14ac:dyDescent="0.25">
      <c r="C11" s="4"/>
    </row>
    <row r="19" spans="1:8" x14ac:dyDescent="0.25">
      <c r="A19" s="60"/>
    </row>
    <row r="20" spans="1:8" ht="15" customHeight="1" x14ac:dyDescent="0.25">
      <c r="B20" s="12"/>
      <c r="C20" s="12"/>
      <c r="D20" s="12"/>
      <c r="E20" s="12"/>
      <c r="F20" s="12"/>
      <c r="G20" s="12"/>
      <c r="H20" s="12"/>
    </row>
    <row r="21" spans="1:8" ht="18" customHeight="1" x14ac:dyDescent="0.25">
      <c r="B21" s="176"/>
      <c r="C21" s="176"/>
      <c r="D21" s="176"/>
      <c r="E21" s="176"/>
      <c r="F21" s="176"/>
      <c r="G21" s="176"/>
      <c r="H21" s="176"/>
    </row>
    <row r="22" spans="1:8" ht="15" customHeight="1" x14ac:dyDescent="0.25">
      <c r="B22" s="177"/>
      <c r="C22" s="177"/>
      <c r="D22" s="177"/>
      <c r="E22" s="177"/>
      <c r="F22" s="177"/>
      <c r="G22" s="177"/>
      <c r="H22" s="177"/>
    </row>
    <row r="27" spans="1:8" x14ac:dyDescent="0.25">
      <c r="A27" s="60"/>
    </row>
    <row r="35" spans="1:1" ht="15.75" x14ac:dyDescent="0.25">
      <c r="A35" s="45" t="s">
        <v>779</v>
      </c>
    </row>
    <row r="36" spans="1:1" ht="15.75" x14ac:dyDescent="0.25">
      <c r="A36" s="45" t="s">
        <v>718</v>
      </c>
    </row>
    <row r="37" spans="1:1" ht="15.75" x14ac:dyDescent="0.25">
      <c r="A37" s="46" t="s">
        <v>719</v>
      </c>
    </row>
    <row r="38" spans="1:1" ht="15.75" x14ac:dyDescent="0.25">
      <c r="A38" s="46" t="s">
        <v>755</v>
      </c>
    </row>
    <row r="39" spans="1:1" ht="15.75" x14ac:dyDescent="0.25">
      <c r="A39" s="45" t="s">
        <v>723</v>
      </c>
    </row>
    <row r="40" spans="1:1" ht="15.75" x14ac:dyDescent="0.25">
      <c r="A40" s="45" t="s">
        <v>720</v>
      </c>
    </row>
    <row r="41" spans="1:1" ht="15.75" x14ac:dyDescent="0.25">
      <c r="A41" s="45" t="s">
        <v>721</v>
      </c>
    </row>
    <row r="42" spans="1:1" ht="15.75" x14ac:dyDescent="0.25">
      <c r="A42" s="45" t="s">
        <v>722</v>
      </c>
    </row>
  </sheetData>
  <sheetProtection sheet="1" objects="1" scenarios="1"/>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7"/>
  <sheetViews>
    <sheetView zoomScale="75" zoomScaleNormal="75" workbookViewId="0"/>
  </sheetViews>
  <sheetFormatPr defaultRowHeight="15" x14ac:dyDescent="0.25"/>
  <cols>
    <col min="1" max="1" width="105.85546875" customWidth="1"/>
    <col min="3" max="3" width="12.5703125" customWidth="1"/>
    <col min="4" max="5" width="11.85546875" customWidth="1"/>
    <col min="6" max="6" width="12.140625" customWidth="1"/>
  </cols>
  <sheetData>
    <row r="1" spans="1:11" ht="21" x14ac:dyDescent="0.35">
      <c r="A1" s="31" t="s">
        <v>35</v>
      </c>
    </row>
    <row r="2" spans="1:11" ht="15.75" x14ac:dyDescent="0.25">
      <c r="A2" s="37" t="s">
        <v>775</v>
      </c>
    </row>
    <row r="3" spans="1:11" ht="67.5" customHeight="1" x14ac:dyDescent="0.25">
      <c r="A3" s="234" t="s">
        <v>777</v>
      </c>
    </row>
    <row r="16" spans="1:11" s="18" customFormat="1" ht="15" customHeight="1" x14ac:dyDescent="0.25">
      <c r="A16"/>
      <c r="B16"/>
      <c r="C16"/>
      <c r="D16"/>
      <c r="E16"/>
      <c r="F16"/>
      <c r="G16"/>
      <c r="H16"/>
      <c r="I16"/>
      <c r="J16"/>
      <c r="K16"/>
    </row>
    <row r="17" spans="1:11" s="18" customFormat="1" ht="17.25" customHeight="1" x14ac:dyDescent="0.25">
      <c r="A17"/>
      <c r="B17"/>
      <c r="C17"/>
      <c r="D17"/>
      <c r="E17"/>
      <c r="F17"/>
      <c r="G17"/>
      <c r="H17"/>
      <c r="I17"/>
      <c r="J17"/>
      <c r="K17"/>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60"/>
  <sheetViews>
    <sheetView zoomScale="75" zoomScaleNormal="75" workbookViewId="0"/>
  </sheetViews>
  <sheetFormatPr defaultRowHeight="15" x14ac:dyDescent="0.25"/>
  <cols>
    <col min="1" max="1" width="33.42578125" customWidth="1"/>
    <col min="2" max="10" width="13" customWidth="1"/>
    <col min="11" max="11" width="13.42578125" customWidth="1"/>
    <col min="12" max="12" width="14.140625" customWidth="1"/>
    <col min="13" max="13" width="11.28515625" customWidth="1"/>
  </cols>
  <sheetData>
    <row r="1" spans="1:35" ht="21" x14ac:dyDescent="0.35">
      <c r="A1" s="21" t="s">
        <v>21</v>
      </c>
      <c r="B1" s="21"/>
      <c r="C1" s="21"/>
      <c r="D1" s="21"/>
      <c r="E1" s="21"/>
      <c r="F1" s="21"/>
      <c r="G1" s="21"/>
      <c r="H1" s="1"/>
      <c r="I1" s="1"/>
      <c r="J1" s="1"/>
      <c r="K1" s="1"/>
    </row>
    <row r="2" spans="1:35" s="22" customFormat="1" ht="21" x14ac:dyDescent="0.35">
      <c r="A2" s="81" t="s">
        <v>289</v>
      </c>
      <c r="B2" s="21"/>
      <c r="C2" s="21"/>
      <c r="D2" s="21"/>
      <c r="E2" s="21"/>
      <c r="F2" s="21"/>
      <c r="G2" s="21"/>
      <c r="H2" s="23"/>
      <c r="I2" s="23"/>
      <c r="J2" s="23"/>
      <c r="K2" s="23"/>
    </row>
    <row r="3" spans="1:35" s="198" customFormat="1" ht="15.95" customHeight="1" x14ac:dyDescent="0.35">
      <c r="A3" s="222" t="s">
        <v>745</v>
      </c>
      <c r="B3" s="223"/>
      <c r="C3" s="223"/>
      <c r="D3" s="223"/>
      <c r="E3" s="223"/>
      <c r="F3" s="223"/>
      <c r="G3" s="223"/>
      <c r="H3" s="224"/>
      <c r="I3" s="224"/>
      <c r="J3" s="224"/>
      <c r="K3" s="224"/>
    </row>
    <row r="4" spans="1:35" s="198" customFormat="1" ht="15.95" customHeight="1" x14ac:dyDescent="0.35">
      <c r="A4" s="222" t="s">
        <v>746</v>
      </c>
      <c r="B4" s="223"/>
      <c r="C4" s="223"/>
      <c r="D4" s="223"/>
      <c r="E4" s="223"/>
      <c r="F4" s="223"/>
      <c r="G4" s="223"/>
      <c r="H4" s="224"/>
      <c r="I4" s="224"/>
      <c r="J4" s="224"/>
      <c r="K4" s="224"/>
    </row>
    <row r="5" spans="1:35" ht="21" x14ac:dyDescent="0.35">
      <c r="A5" s="26" t="s">
        <v>747</v>
      </c>
      <c r="B5" s="20"/>
      <c r="C5" s="20"/>
      <c r="D5" s="20"/>
      <c r="E5" s="20"/>
      <c r="F5" s="20"/>
      <c r="G5" s="20"/>
      <c r="H5" s="1"/>
      <c r="I5" s="1"/>
      <c r="J5" s="1"/>
      <c r="K5" s="1"/>
      <c r="W5" s="24"/>
      <c r="X5" s="24"/>
      <c r="Y5" s="24"/>
      <c r="Z5" s="24"/>
      <c r="AA5" s="24"/>
      <c r="AB5" s="24"/>
      <c r="AC5" s="24"/>
      <c r="AD5" s="24"/>
      <c r="AE5" s="24"/>
      <c r="AF5" s="24"/>
      <c r="AG5" s="24"/>
      <c r="AH5" s="24"/>
      <c r="AI5" s="24"/>
    </row>
    <row r="6" spans="1:35" ht="78.75" x14ac:dyDescent="0.25">
      <c r="A6" s="209" t="s">
        <v>585</v>
      </c>
      <c r="B6" s="210" t="s">
        <v>588</v>
      </c>
      <c r="C6" s="210" t="s">
        <v>314</v>
      </c>
      <c r="D6" s="210" t="s">
        <v>590</v>
      </c>
      <c r="E6" s="210" t="s">
        <v>52</v>
      </c>
      <c r="F6" s="210" t="s">
        <v>53</v>
      </c>
      <c r="G6" s="210" t="s">
        <v>54</v>
      </c>
      <c r="H6" s="210" t="s">
        <v>315</v>
      </c>
      <c r="I6" s="210" t="s">
        <v>316</v>
      </c>
      <c r="J6" s="210" t="s">
        <v>317</v>
      </c>
      <c r="K6" s="27"/>
      <c r="L6" s="33"/>
      <c r="M6" s="27"/>
      <c r="N6" s="27"/>
      <c r="O6" s="27"/>
      <c r="P6" s="27"/>
      <c r="Q6" s="27"/>
      <c r="W6" s="22"/>
      <c r="X6" s="22"/>
      <c r="Y6" s="50"/>
      <c r="Z6" s="50"/>
      <c r="AA6" s="50"/>
      <c r="AB6" s="50"/>
      <c r="AC6" s="50"/>
      <c r="AD6" s="50"/>
      <c r="AE6" s="19"/>
      <c r="AF6" s="19"/>
      <c r="AG6" s="19"/>
      <c r="AH6" s="24"/>
      <c r="AI6" s="24"/>
    </row>
    <row r="7" spans="1:35" s="22" customFormat="1" ht="15.75" x14ac:dyDescent="0.25">
      <c r="A7" s="34" t="s">
        <v>6</v>
      </c>
      <c r="B7" s="115">
        <v>323915</v>
      </c>
      <c r="C7" s="96">
        <v>1</v>
      </c>
      <c r="D7" s="115">
        <v>315340</v>
      </c>
      <c r="E7" s="115">
        <v>213585</v>
      </c>
      <c r="F7" s="115">
        <v>90095</v>
      </c>
      <c r="G7" s="115">
        <v>11660</v>
      </c>
      <c r="H7" s="96">
        <v>0.68</v>
      </c>
      <c r="I7" s="96">
        <v>0.28999999999999998</v>
      </c>
      <c r="J7" s="96">
        <v>0.04</v>
      </c>
      <c r="K7" s="27"/>
      <c r="L7" s="190"/>
      <c r="M7" s="191"/>
      <c r="N7" s="190"/>
      <c r="O7" s="190"/>
      <c r="P7" s="190"/>
      <c r="Q7" s="190"/>
      <c r="R7" s="191"/>
      <c r="S7" s="191"/>
      <c r="T7" s="191"/>
      <c r="AE7" s="19"/>
      <c r="AF7" s="19"/>
      <c r="AG7" s="19"/>
      <c r="AH7" s="24"/>
      <c r="AI7" s="24"/>
    </row>
    <row r="8" spans="1:35" ht="15.75" x14ac:dyDescent="0.25">
      <c r="A8" s="35" t="s">
        <v>259</v>
      </c>
      <c r="B8" s="113">
        <v>9900</v>
      </c>
      <c r="C8" s="75">
        <v>0.03</v>
      </c>
      <c r="D8" s="113">
        <v>3365</v>
      </c>
      <c r="E8" s="113">
        <v>2730</v>
      </c>
      <c r="F8" s="113">
        <v>620</v>
      </c>
      <c r="G8" s="113">
        <v>10</v>
      </c>
      <c r="H8" s="75">
        <v>0.81</v>
      </c>
      <c r="I8" s="75">
        <v>0.18</v>
      </c>
      <c r="J8" s="75">
        <v>0</v>
      </c>
      <c r="K8" s="27"/>
      <c r="L8" s="190"/>
      <c r="M8" s="191"/>
      <c r="N8" s="190"/>
      <c r="O8" s="190"/>
      <c r="P8" s="190"/>
      <c r="Q8" s="190"/>
      <c r="R8" s="191"/>
      <c r="S8" s="191"/>
      <c r="T8" s="191"/>
      <c r="V8" s="22"/>
      <c r="W8" s="22"/>
      <c r="X8" s="22"/>
      <c r="Y8" s="22"/>
      <c r="Z8" s="22"/>
      <c r="AA8" s="22"/>
      <c r="AB8" s="22"/>
      <c r="AC8" s="22"/>
      <c r="AD8" s="22"/>
      <c r="AE8" s="17"/>
      <c r="AF8" s="17"/>
      <c r="AG8" s="17"/>
      <c r="AH8" s="24"/>
      <c r="AI8" s="24"/>
    </row>
    <row r="9" spans="1:35" ht="15.75" x14ac:dyDescent="0.25">
      <c r="A9" s="35" t="s">
        <v>260</v>
      </c>
      <c r="B9" s="113">
        <v>4025</v>
      </c>
      <c r="C9" s="75">
        <v>0.01</v>
      </c>
      <c r="D9" s="113">
        <v>8335</v>
      </c>
      <c r="E9" s="113">
        <v>5175</v>
      </c>
      <c r="F9" s="113">
        <v>3020</v>
      </c>
      <c r="G9" s="113">
        <v>140</v>
      </c>
      <c r="H9" s="75">
        <v>0.62</v>
      </c>
      <c r="I9" s="75">
        <v>0.36</v>
      </c>
      <c r="J9" s="75">
        <v>0.02</v>
      </c>
      <c r="K9" s="27"/>
      <c r="L9" s="190"/>
      <c r="M9" s="191"/>
      <c r="N9" s="190"/>
      <c r="O9" s="190"/>
      <c r="P9" s="190"/>
      <c r="Q9" s="190"/>
      <c r="R9" s="191"/>
      <c r="S9" s="191"/>
      <c r="T9" s="191"/>
      <c r="V9" s="22"/>
      <c r="W9" s="22"/>
      <c r="X9" s="22"/>
      <c r="Y9" s="22"/>
      <c r="Z9" s="22"/>
      <c r="AA9" s="22"/>
      <c r="AB9" s="22"/>
      <c r="AC9" s="22"/>
      <c r="AD9" s="22"/>
      <c r="AE9" s="7"/>
      <c r="AF9" s="7"/>
      <c r="AG9" s="7"/>
      <c r="AH9" s="24"/>
      <c r="AI9" s="24"/>
    </row>
    <row r="10" spans="1:35" ht="15.75" x14ac:dyDescent="0.25">
      <c r="A10" s="35" t="s">
        <v>261</v>
      </c>
      <c r="B10" s="113">
        <v>2585</v>
      </c>
      <c r="C10" s="75">
        <v>0.01</v>
      </c>
      <c r="D10" s="113">
        <v>3210</v>
      </c>
      <c r="E10" s="113">
        <v>1865</v>
      </c>
      <c r="F10" s="113">
        <v>1240</v>
      </c>
      <c r="G10" s="113">
        <v>105</v>
      </c>
      <c r="H10" s="75">
        <v>0.57999999999999996</v>
      </c>
      <c r="I10" s="75">
        <v>0.39</v>
      </c>
      <c r="J10" s="75">
        <v>0.03</v>
      </c>
      <c r="K10" s="27"/>
      <c r="L10" s="190"/>
      <c r="M10" s="191"/>
      <c r="N10" s="190"/>
      <c r="O10" s="190"/>
      <c r="P10" s="190"/>
      <c r="Q10" s="190"/>
      <c r="R10" s="191"/>
      <c r="S10" s="191"/>
      <c r="T10" s="191"/>
      <c r="V10" s="22"/>
      <c r="W10" s="22"/>
      <c r="X10" s="22"/>
      <c r="Y10" s="22"/>
      <c r="Z10" s="22"/>
      <c r="AA10" s="22"/>
      <c r="AB10" s="22"/>
      <c r="AC10" s="22"/>
      <c r="AD10" s="22"/>
      <c r="AE10" s="7"/>
      <c r="AF10" s="7"/>
      <c r="AG10" s="7"/>
      <c r="AH10" s="24"/>
      <c r="AI10" s="24"/>
    </row>
    <row r="11" spans="1:35" ht="15.75" x14ac:dyDescent="0.25">
      <c r="A11" s="35" t="s">
        <v>264</v>
      </c>
      <c r="B11" s="113">
        <v>2970</v>
      </c>
      <c r="C11" s="75">
        <v>0.01</v>
      </c>
      <c r="D11" s="113">
        <v>3025</v>
      </c>
      <c r="E11" s="113">
        <v>1735</v>
      </c>
      <c r="F11" s="113">
        <v>1195</v>
      </c>
      <c r="G11" s="113">
        <v>95</v>
      </c>
      <c r="H11" s="75">
        <v>0.56999999999999995</v>
      </c>
      <c r="I11" s="75">
        <v>0.4</v>
      </c>
      <c r="J11" s="75">
        <v>0.03</v>
      </c>
      <c r="K11" s="27"/>
      <c r="L11" s="190"/>
      <c r="M11" s="191"/>
      <c r="N11" s="190"/>
      <c r="O11" s="190"/>
      <c r="P11" s="190"/>
      <c r="Q11" s="190"/>
      <c r="R11" s="191"/>
      <c r="S11" s="191"/>
      <c r="T11" s="191"/>
      <c r="V11" s="22"/>
      <c r="W11" s="22"/>
      <c r="X11" s="22"/>
      <c r="Y11" s="22"/>
      <c r="Z11" s="22"/>
      <c r="AA11" s="22"/>
      <c r="AB11" s="22"/>
      <c r="AC11" s="22"/>
      <c r="AD11" s="22"/>
      <c r="AE11" s="7"/>
      <c r="AF11" s="7"/>
      <c r="AG11" s="7"/>
      <c r="AH11" s="24"/>
      <c r="AI11" s="24"/>
    </row>
    <row r="12" spans="1:35" ht="15.75" x14ac:dyDescent="0.25">
      <c r="A12" s="35" t="s">
        <v>265</v>
      </c>
      <c r="B12" s="113">
        <v>8650</v>
      </c>
      <c r="C12" s="75">
        <v>0.03</v>
      </c>
      <c r="D12" s="113">
        <v>3890</v>
      </c>
      <c r="E12" s="113">
        <v>2250</v>
      </c>
      <c r="F12" s="113">
        <v>1385</v>
      </c>
      <c r="G12" s="113">
        <v>260</v>
      </c>
      <c r="H12" s="75">
        <v>0.57999999999999996</v>
      </c>
      <c r="I12" s="75">
        <v>0.36</v>
      </c>
      <c r="J12" s="75">
        <v>7.0000000000000007E-2</v>
      </c>
      <c r="K12" s="27"/>
      <c r="L12" s="190"/>
      <c r="M12" s="191"/>
      <c r="N12" s="190"/>
      <c r="O12" s="190"/>
      <c r="P12" s="190"/>
      <c r="Q12" s="190"/>
      <c r="R12" s="191"/>
      <c r="S12" s="191"/>
      <c r="T12" s="191"/>
      <c r="V12" s="22"/>
      <c r="W12" s="22"/>
      <c r="X12" s="22"/>
      <c r="Y12" s="22"/>
      <c r="Z12" s="22"/>
      <c r="AA12" s="22"/>
      <c r="AB12" s="22"/>
      <c r="AC12" s="22"/>
      <c r="AD12" s="22"/>
      <c r="AE12" s="7"/>
      <c r="AF12" s="7"/>
      <c r="AG12" s="7"/>
      <c r="AH12" s="24"/>
      <c r="AI12" s="24"/>
    </row>
    <row r="13" spans="1:35" ht="15.75" x14ac:dyDescent="0.25">
      <c r="A13" s="35" t="s">
        <v>266</v>
      </c>
      <c r="B13" s="113">
        <v>18610</v>
      </c>
      <c r="C13" s="75">
        <v>0.06</v>
      </c>
      <c r="D13" s="113">
        <v>21280</v>
      </c>
      <c r="E13" s="113">
        <v>13550</v>
      </c>
      <c r="F13" s="113">
        <v>6985</v>
      </c>
      <c r="G13" s="113">
        <v>745</v>
      </c>
      <c r="H13" s="75">
        <v>0.64</v>
      </c>
      <c r="I13" s="75">
        <v>0.33</v>
      </c>
      <c r="J13" s="75">
        <v>0.04</v>
      </c>
      <c r="K13" s="27"/>
      <c r="L13" s="190"/>
      <c r="M13" s="191"/>
      <c r="N13" s="190"/>
      <c r="O13" s="190"/>
      <c r="P13" s="190"/>
      <c r="Q13" s="190"/>
      <c r="R13" s="191"/>
      <c r="S13" s="191"/>
      <c r="T13" s="191"/>
      <c r="V13" s="22"/>
      <c r="W13" s="22"/>
      <c r="X13" s="22"/>
      <c r="Y13" s="22"/>
      <c r="Z13" s="22"/>
      <c r="AA13" s="22"/>
      <c r="AB13" s="22"/>
      <c r="AC13" s="22"/>
      <c r="AD13" s="22"/>
      <c r="AE13" s="7"/>
      <c r="AF13" s="7"/>
      <c r="AG13" s="7"/>
      <c r="AH13" s="24"/>
      <c r="AI13" s="24"/>
    </row>
    <row r="14" spans="1:35" ht="15.75" x14ac:dyDescent="0.25">
      <c r="A14" s="35" t="s">
        <v>267</v>
      </c>
      <c r="B14" s="113">
        <v>24935</v>
      </c>
      <c r="C14" s="75">
        <v>0.08</v>
      </c>
      <c r="D14" s="113">
        <v>20725</v>
      </c>
      <c r="E14" s="113">
        <v>15210</v>
      </c>
      <c r="F14" s="113">
        <v>4770</v>
      </c>
      <c r="G14" s="113">
        <v>745</v>
      </c>
      <c r="H14" s="75">
        <v>0.73</v>
      </c>
      <c r="I14" s="75">
        <v>0.23</v>
      </c>
      <c r="J14" s="75">
        <v>0.04</v>
      </c>
      <c r="K14" s="27"/>
      <c r="L14" s="190"/>
      <c r="M14" s="191"/>
      <c r="N14" s="190"/>
      <c r="O14" s="190"/>
      <c r="P14" s="190"/>
      <c r="Q14" s="190"/>
      <c r="R14" s="191"/>
      <c r="S14" s="191"/>
      <c r="T14" s="191"/>
      <c r="V14" s="22"/>
      <c r="W14" s="22"/>
      <c r="X14" s="22"/>
      <c r="Y14" s="22"/>
      <c r="Z14" s="22"/>
      <c r="AA14" s="22"/>
      <c r="AB14" s="22"/>
      <c r="AC14" s="22"/>
      <c r="AD14" s="22"/>
      <c r="AE14" s="7"/>
      <c r="AF14" s="7"/>
      <c r="AG14" s="7"/>
      <c r="AH14" s="24"/>
      <c r="AI14" s="24"/>
    </row>
    <row r="15" spans="1:35" ht="15.75" x14ac:dyDescent="0.25">
      <c r="A15" s="35" t="s">
        <v>268</v>
      </c>
      <c r="B15" s="113">
        <v>7730</v>
      </c>
      <c r="C15" s="75">
        <v>0.02</v>
      </c>
      <c r="D15" s="113">
        <v>13280</v>
      </c>
      <c r="E15" s="113">
        <v>8820</v>
      </c>
      <c r="F15" s="113">
        <v>3770</v>
      </c>
      <c r="G15" s="113">
        <v>690</v>
      </c>
      <c r="H15" s="75">
        <v>0.66</v>
      </c>
      <c r="I15" s="75">
        <v>0.28000000000000003</v>
      </c>
      <c r="J15" s="75">
        <v>0.05</v>
      </c>
      <c r="K15" s="27"/>
      <c r="L15" s="190"/>
      <c r="M15" s="191"/>
      <c r="N15" s="190"/>
      <c r="O15" s="190"/>
      <c r="P15" s="190"/>
      <c r="Q15" s="190"/>
      <c r="R15" s="191"/>
      <c r="S15" s="191"/>
      <c r="T15" s="191"/>
      <c r="V15" s="22"/>
      <c r="W15" s="22"/>
      <c r="X15" s="22"/>
      <c r="Y15" s="22"/>
      <c r="Z15" s="22"/>
      <c r="AA15" s="22"/>
      <c r="AB15" s="22"/>
      <c r="AC15" s="22"/>
      <c r="AD15" s="22"/>
      <c r="AE15" s="7"/>
      <c r="AF15" s="7"/>
      <c r="AG15" s="7"/>
      <c r="AH15" s="24"/>
      <c r="AI15" s="24"/>
    </row>
    <row r="16" spans="1:35" ht="15.75" x14ac:dyDescent="0.25">
      <c r="A16" s="35" t="s">
        <v>269</v>
      </c>
      <c r="B16" s="113">
        <v>10220</v>
      </c>
      <c r="C16" s="75">
        <v>0.03</v>
      </c>
      <c r="D16" s="113">
        <v>7580</v>
      </c>
      <c r="E16" s="113">
        <v>5375</v>
      </c>
      <c r="F16" s="113">
        <v>1900</v>
      </c>
      <c r="G16" s="113">
        <v>300</v>
      </c>
      <c r="H16" s="75">
        <v>0.71</v>
      </c>
      <c r="I16" s="75">
        <v>0.25</v>
      </c>
      <c r="J16" s="75">
        <v>0.04</v>
      </c>
      <c r="K16" s="27"/>
      <c r="L16" s="190"/>
      <c r="M16" s="191"/>
      <c r="N16" s="190"/>
      <c r="O16" s="190"/>
      <c r="P16" s="190"/>
      <c r="Q16" s="190"/>
      <c r="R16" s="191"/>
      <c r="S16" s="191"/>
      <c r="T16" s="191"/>
      <c r="V16" s="22"/>
      <c r="W16" s="22"/>
      <c r="X16" s="22"/>
      <c r="Y16" s="22"/>
      <c r="Z16" s="22"/>
      <c r="AA16" s="22"/>
      <c r="AB16" s="22"/>
      <c r="AC16" s="22"/>
      <c r="AD16" s="22"/>
      <c r="AE16" s="7"/>
      <c r="AF16" s="7"/>
      <c r="AG16" s="7"/>
      <c r="AH16" s="24"/>
      <c r="AI16" s="24"/>
    </row>
    <row r="17" spans="1:35" ht="15.75" x14ac:dyDescent="0.25">
      <c r="A17" s="35" t="s">
        <v>270</v>
      </c>
      <c r="B17" s="113">
        <v>7035</v>
      </c>
      <c r="C17" s="75">
        <v>0.02</v>
      </c>
      <c r="D17" s="113">
        <v>6655</v>
      </c>
      <c r="E17" s="113">
        <v>4630</v>
      </c>
      <c r="F17" s="113">
        <v>1690</v>
      </c>
      <c r="G17" s="113">
        <v>335</v>
      </c>
      <c r="H17" s="75">
        <v>0.7</v>
      </c>
      <c r="I17" s="75">
        <v>0.25</v>
      </c>
      <c r="J17" s="75">
        <v>0.05</v>
      </c>
      <c r="K17" s="27"/>
      <c r="L17" s="190"/>
      <c r="M17" s="191"/>
      <c r="N17" s="190"/>
      <c r="O17" s="190"/>
      <c r="P17" s="190"/>
      <c r="Q17" s="190"/>
      <c r="R17" s="191"/>
      <c r="S17" s="191"/>
      <c r="T17" s="191"/>
      <c r="V17" s="22"/>
      <c r="W17" s="22"/>
      <c r="X17" s="22"/>
      <c r="Y17" s="22"/>
      <c r="Z17" s="22"/>
      <c r="AA17" s="22"/>
      <c r="AB17" s="22"/>
      <c r="AC17" s="22"/>
      <c r="AD17" s="22"/>
      <c r="AE17" s="7"/>
      <c r="AF17" s="7"/>
      <c r="AG17" s="7"/>
      <c r="AH17" s="24"/>
      <c r="AI17" s="24"/>
    </row>
    <row r="18" spans="1:35" ht="15.75" x14ac:dyDescent="0.25">
      <c r="A18" s="35" t="s">
        <v>271</v>
      </c>
      <c r="B18" s="113">
        <v>7740</v>
      </c>
      <c r="C18" s="75">
        <v>0.02</v>
      </c>
      <c r="D18" s="113">
        <v>6990</v>
      </c>
      <c r="E18" s="113">
        <v>4800</v>
      </c>
      <c r="F18" s="113">
        <v>1735</v>
      </c>
      <c r="G18" s="113">
        <v>455</v>
      </c>
      <c r="H18" s="75">
        <v>0.69</v>
      </c>
      <c r="I18" s="75">
        <v>0.25</v>
      </c>
      <c r="J18" s="75">
        <v>7.0000000000000007E-2</v>
      </c>
      <c r="K18" s="27"/>
      <c r="L18" s="190"/>
      <c r="M18" s="191"/>
      <c r="N18" s="190"/>
      <c r="O18" s="190"/>
      <c r="P18" s="190"/>
      <c r="Q18" s="190"/>
      <c r="R18" s="191"/>
      <c r="S18" s="191"/>
      <c r="T18" s="191"/>
      <c r="V18" s="22"/>
      <c r="W18" s="22"/>
      <c r="X18" s="22"/>
      <c r="Y18" s="22"/>
      <c r="Z18" s="22"/>
      <c r="AA18" s="22"/>
      <c r="AB18" s="22"/>
      <c r="AC18" s="22"/>
      <c r="AD18" s="22"/>
      <c r="AE18" s="7"/>
      <c r="AF18" s="7"/>
      <c r="AG18" s="7"/>
      <c r="AH18" s="24"/>
      <c r="AI18" s="24"/>
    </row>
    <row r="19" spans="1:35" ht="15.75" x14ac:dyDescent="0.25">
      <c r="A19" s="35" t="s">
        <v>272</v>
      </c>
      <c r="B19" s="113">
        <v>11470</v>
      </c>
      <c r="C19" s="75">
        <v>0.04</v>
      </c>
      <c r="D19" s="113">
        <v>8250</v>
      </c>
      <c r="E19" s="113">
        <v>5140</v>
      </c>
      <c r="F19" s="113">
        <v>2725</v>
      </c>
      <c r="G19" s="113">
        <v>385</v>
      </c>
      <c r="H19" s="75">
        <v>0.62</v>
      </c>
      <c r="I19" s="75">
        <v>0.33</v>
      </c>
      <c r="J19" s="75">
        <v>0.05</v>
      </c>
      <c r="K19" s="27"/>
      <c r="L19" s="190"/>
      <c r="M19" s="191"/>
      <c r="N19" s="190"/>
      <c r="O19" s="190"/>
      <c r="P19" s="190"/>
      <c r="Q19" s="190"/>
      <c r="R19" s="191"/>
      <c r="S19" s="191"/>
      <c r="T19" s="191"/>
      <c r="V19" s="22"/>
      <c r="W19" s="22"/>
      <c r="X19" s="22"/>
      <c r="Y19" s="22"/>
      <c r="Z19" s="22"/>
      <c r="AA19" s="22"/>
      <c r="AB19" s="22"/>
      <c r="AC19" s="22"/>
      <c r="AD19" s="22"/>
      <c r="AE19" s="7"/>
      <c r="AF19" s="7"/>
      <c r="AG19" s="7"/>
      <c r="AH19" s="24"/>
      <c r="AI19" s="24"/>
    </row>
    <row r="20" spans="1:35" s="15" customFormat="1" ht="15.6" customHeight="1" x14ac:dyDescent="0.25">
      <c r="A20" s="35" t="s">
        <v>273</v>
      </c>
      <c r="B20" s="113">
        <v>4875</v>
      </c>
      <c r="C20" s="75">
        <v>0.02</v>
      </c>
      <c r="D20" s="113">
        <v>6695</v>
      </c>
      <c r="E20" s="113">
        <v>4490</v>
      </c>
      <c r="F20" s="113">
        <v>1845</v>
      </c>
      <c r="G20" s="113">
        <v>360</v>
      </c>
      <c r="H20" s="75">
        <v>0.67</v>
      </c>
      <c r="I20" s="75">
        <v>0.28000000000000003</v>
      </c>
      <c r="J20" s="75">
        <v>0.05</v>
      </c>
      <c r="K20" s="28"/>
      <c r="L20" s="190"/>
      <c r="M20" s="191"/>
      <c r="N20" s="190"/>
      <c r="O20" s="190"/>
      <c r="P20" s="190"/>
      <c r="Q20" s="190"/>
      <c r="R20" s="191"/>
      <c r="S20" s="191"/>
      <c r="T20" s="191"/>
      <c r="V20" s="22"/>
      <c r="W20" s="22"/>
      <c r="X20" s="22"/>
      <c r="Y20" s="22"/>
      <c r="Z20" s="22"/>
      <c r="AA20" s="22"/>
      <c r="AB20" s="22"/>
      <c r="AC20" s="22"/>
      <c r="AD20" s="22"/>
      <c r="AE20" s="54"/>
      <c r="AF20" s="54"/>
      <c r="AG20" s="54"/>
      <c r="AH20" s="54"/>
      <c r="AI20" s="54"/>
    </row>
    <row r="21" spans="1:35" s="15" customFormat="1" ht="17.100000000000001" customHeight="1" x14ac:dyDescent="0.25">
      <c r="A21" s="80" t="s">
        <v>274</v>
      </c>
      <c r="B21" s="113">
        <v>7375</v>
      </c>
      <c r="C21" s="75">
        <v>0.02</v>
      </c>
      <c r="D21" s="113">
        <v>7885</v>
      </c>
      <c r="E21" s="113">
        <v>5170</v>
      </c>
      <c r="F21" s="113">
        <v>2240</v>
      </c>
      <c r="G21" s="113">
        <v>475</v>
      </c>
      <c r="H21" s="75">
        <v>0.66</v>
      </c>
      <c r="I21" s="75">
        <v>0.28000000000000003</v>
      </c>
      <c r="J21" s="75">
        <v>0.06</v>
      </c>
      <c r="K21" s="28"/>
      <c r="L21" s="190"/>
      <c r="M21" s="191"/>
      <c r="N21" s="190"/>
      <c r="O21" s="190"/>
      <c r="P21" s="190"/>
      <c r="Q21" s="190"/>
      <c r="R21" s="191"/>
      <c r="S21" s="191"/>
      <c r="T21" s="191"/>
      <c r="V21" s="22"/>
      <c r="W21" s="22"/>
      <c r="X21" s="22"/>
      <c r="Y21" s="22"/>
      <c r="Z21" s="22"/>
      <c r="AA21" s="22"/>
      <c r="AB21" s="22"/>
      <c r="AC21" s="22"/>
      <c r="AD21" s="22"/>
      <c r="AE21" s="54"/>
      <c r="AF21" s="54"/>
      <c r="AG21" s="54"/>
      <c r="AH21" s="54"/>
      <c r="AI21" s="54"/>
    </row>
    <row r="22" spans="1:35" s="15" customFormat="1" ht="15.95" customHeight="1" x14ac:dyDescent="0.25">
      <c r="A22" s="80" t="s">
        <v>262</v>
      </c>
      <c r="B22" s="113">
        <v>13760</v>
      </c>
      <c r="C22" s="75">
        <v>0.04</v>
      </c>
      <c r="D22" s="113">
        <v>7965</v>
      </c>
      <c r="E22" s="113">
        <v>5315</v>
      </c>
      <c r="F22" s="113">
        <v>2310</v>
      </c>
      <c r="G22" s="113">
        <v>335</v>
      </c>
      <c r="H22" s="75">
        <v>0.67</v>
      </c>
      <c r="I22" s="75">
        <v>0.28999999999999998</v>
      </c>
      <c r="J22" s="75">
        <v>0.04</v>
      </c>
      <c r="K22" s="29"/>
      <c r="L22" s="190"/>
      <c r="M22" s="191"/>
      <c r="N22" s="190"/>
      <c r="O22" s="190"/>
      <c r="P22" s="190"/>
      <c r="Q22" s="190"/>
      <c r="R22" s="191"/>
      <c r="S22" s="191"/>
      <c r="T22" s="191"/>
      <c r="V22" s="22"/>
      <c r="W22" s="22"/>
      <c r="X22" s="22"/>
      <c r="Y22" s="22"/>
      <c r="Z22" s="22"/>
      <c r="AA22" s="22"/>
      <c r="AB22" s="22"/>
      <c r="AC22" s="22"/>
      <c r="AD22" s="22"/>
      <c r="AE22" s="54"/>
      <c r="AF22" s="54"/>
      <c r="AG22" s="54"/>
      <c r="AH22" s="54"/>
      <c r="AI22" s="54"/>
    </row>
    <row r="23" spans="1:35" s="15" customFormat="1" ht="15.75" x14ac:dyDescent="0.25">
      <c r="A23" s="80" t="s">
        <v>275</v>
      </c>
      <c r="B23" s="113">
        <v>5670</v>
      </c>
      <c r="C23" s="75">
        <v>0.02</v>
      </c>
      <c r="D23" s="113">
        <v>9490</v>
      </c>
      <c r="E23" s="113">
        <v>5345</v>
      </c>
      <c r="F23" s="113">
        <v>4020</v>
      </c>
      <c r="G23" s="113">
        <v>120</v>
      </c>
      <c r="H23" s="75">
        <v>0.56000000000000005</v>
      </c>
      <c r="I23" s="75">
        <v>0.42</v>
      </c>
      <c r="J23" s="75">
        <v>0.01</v>
      </c>
      <c r="K23" s="28"/>
      <c r="L23" s="190"/>
      <c r="M23" s="191"/>
      <c r="N23" s="190"/>
      <c r="O23" s="190"/>
      <c r="P23" s="190"/>
      <c r="Q23" s="190"/>
      <c r="R23" s="191"/>
      <c r="S23" s="191"/>
      <c r="T23" s="191"/>
      <c r="V23" s="22"/>
      <c r="W23" s="22"/>
      <c r="X23" s="22"/>
      <c r="Y23" s="22"/>
      <c r="Z23" s="22"/>
      <c r="AA23" s="22"/>
      <c r="AB23" s="22"/>
      <c r="AC23" s="22"/>
      <c r="AD23" s="22"/>
      <c r="AE23" s="54"/>
      <c r="AF23" s="54"/>
      <c r="AG23" s="54"/>
      <c r="AH23" s="54"/>
      <c r="AI23" s="54"/>
    </row>
    <row r="24" spans="1:35" s="15" customFormat="1" ht="15.75" x14ac:dyDescent="0.25">
      <c r="A24" s="80" t="s">
        <v>276</v>
      </c>
      <c r="B24" s="113">
        <v>5735</v>
      </c>
      <c r="C24" s="75">
        <v>0.02</v>
      </c>
      <c r="D24" s="113">
        <v>6155</v>
      </c>
      <c r="E24" s="113">
        <v>3795</v>
      </c>
      <c r="F24" s="113">
        <v>2290</v>
      </c>
      <c r="G24" s="113">
        <v>70</v>
      </c>
      <c r="H24" s="75">
        <v>0.62</v>
      </c>
      <c r="I24" s="75">
        <v>0.37</v>
      </c>
      <c r="J24" s="75">
        <v>0.01</v>
      </c>
      <c r="K24" s="28"/>
      <c r="L24" s="190"/>
      <c r="M24" s="191"/>
      <c r="N24" s="190"/>
      <c r="O24" s="190"/>
      <c r="P24" s="190"/>
      <c r="Q24" s="190"/>
      <c r="R24" s="191"/>
      <c r="S24" s="191"/>
      <c r="T24" s="191"/>
      <c r="V24" s="22"/>
      <c r="W24" s="22"/>
      <c r="X24" s="22"/>
      <c r="Y24" s="22"/>
      <c r="Z24" s="22"/>
      <c r="AA24" s="22"/>
      <c r="AB24" s="22"/>
      <c r="AC24" s="22"/>
      <c r="AD24" s="22"/>
      <c r="AE24" s="54"/>
      <c r="AF24" s="54"/>
      <c r="AG24" s="54"/>
      <c r="AH24" s="54"/>
      <c r="AI24" s="54"/>
    </row>
    <row r="25" spans="1:35" ht="15.75" x14ac:dyDescent="0.25">
      <c r="A25" s="80" t="s">
        <v>277</v>
      </c>
      <c r="B25" s="113">
        <v>6830</v>
      </c>
      <c r="C25" s="75">
        <v>0.02</v>
      </c>
      <c r="D25" s="113">
        <v>6310</v>
      </c>
      <c r="E25" s="113">
        <v>3950</v>
      </c>
      <c r="F25" s="113">
        <v>2275</v>
      </c>
      <c r="G25" s="113">
        <v>80</v>
      </c>
      <c r="H25" s="75">
        <v>0.63</v>
      </c>
      <c r="I25" s="75">
        <v>0.36</v>
      </c>
      <c r="J25" s="75">
        <v>0.01</v>
      </c>
      <c r="K25" s="27"/>
      <c r="L25" s="190"/>
      <c r="M25" s="191"/>
      <c r="N25" s="190"/>
      <c r="O25" s="190"/>
      <c r="P25" s="190"/>
      <c r="Q25" s="190"/>
      <c r="R25" s="191"/>
      <c r="S25" s="191"/>
      <c r="T25" s="191"/>
      <c r="V25" s="22"/>
      <c r="W25" s="22"/>
      <c r="X25" s="22"/>
      <c r="Y25" s="22"/>
      <c r="Z25" s="22"/>
      <c r="AA25" s="22"/>
      <c r="AB25" s="22"/>
      <c r="AC25" s="22"/>
      <c r="AD25" s="22"/>
    </row>
    <row r="26" spans="1:35" ht="15.75" x14ac:dyDescent="0.25">
      <c r="A26" s="80" t="s">
        <v>278</v>
      </c>
      <c r="B26" s="113">
        <v>25580</v>
      </c>
      <c r="C26" s="75">
        <v>0.08</v>
      </c>
      <c r="D26" s="113">
        <v>10925</v>
      </c>
      <c r="E26" s="113">
        <v>8595</v>
      </c>
      <c r="F26" s="113">
        <v>2175</v>
      </c>
      <c r="G26" s="113">
        <v>150</v>
      </c>
      <c r="H26" s="75">
        <v>0.79</v>
      </c>
      <c r="I26" s="75">
        <v>0.2</v>
      </c>
      <c r="J26" s="75">
        <v>0.01</v>
      </c>
      <c r="K26" s="27"/>
      <c r="L26" s="190"/>
      <c r="M26" s="191"/>
      <c r="N26" s="190"/>
      <c r="O26" s="190"/>
      <c r="P26" s="190"/>
      <c r="Q26" s="190"/>
      <c r="R26" s="191"/>
      <c r="S26" s="191"/>
      <c r="T26" s="191"/>
      <c r="V26" s="22"/>
      <c r="W26" s="22"/>
      <c r="X26" s="22"/>
      <c r="Y26" s="22"/>
      <c r="Z26" s="22"/>
      <c r="AA26" s="22"/>
      <c r="AB26" s="22"/>
      <c r="AC26" s="22"/>
      <c r="AD26" s="22"/>
    </row>
    <row r="27" spans="1:35" ht="15.75" x14ac:dyDescent="0.25">
      <c r="A27" s="80" t="s">
        <v>279</v>
      </c>
      <c r="B27" s="113">
        <v>8765</v>
      </c>
      <c r="C27" s="75">
        <v>0.03</v>
      </c>
      <c r="D27" s="113">
        <v>16590</v>
      </c>
      <c r="E27" s="113">
        <v>13460</v>
      </c>
      <c r="F27" s="113">
        <v>2955</v>
      </c>
      <c r="G27" s="113">
        <v>180</v>
      </c>
      <c r="H27" s="75">
        <v>0.81</v>
      </c>
      <c r="I27" s="75">
        <v>0.18</v>
      </c>
      <c r="J27" s="75">
        <v>0.01</v>
      </c>
      <c r="K27" s="27"/>
      <c r="L27" s="190"/>
      <c r="M27" s="191"/>
      <c r="N27" s="190"/>
      <c r="O27" s="190"/>
      <c r="P27" s="190"/>
      <c r="Q27" s="190"/>
      <c r="R27" s="191"/>
      <c r="S27" s="191"/>
      <c r="T27" s="191"/>
      <c r="V27" s="22"/>
      <c r="W27" s="22"/>
      <c r="X27" s="22"/>
      <c r="Y27" s="22"/>
      <c r="Z27" s="22"/>
      <c r="AA27" s="22"/>
      <c r="AB27" s="22"/>
      <c r="AC27" s="22"/>
      <c r="AD27" s="22"/>
    </row>
    <row r="28" spans="1:35" ht="15.75" x14ac:dyDescent="0.25">
      <c r="A28" s="80" t="s">
        <v>280</v>
      </c>
      <c r="B28" s="113">
        <v>9805</v>
      </c>
      <c r="C28" s="75">
        <v>0.03</v>
      </c>
      <c r="D28" s="113">
        <v>11335</v>
      </c>
      <c r="E28" s="113">
        <v>8490</v>
      </c>
      <c r="F28" s="113">
        <v>2725</v>
      </c>
      <c r="G28" s="113">
        <v>120</v>
      </c>
      <c r="H28" s="75">
        <v>0.75</v>
      </c>
      <c r="I28" s="75">
        <v>0.24</v>
      </c>
      <c r="J28" s="75">
        <v>0.01</v>
      </c>
      <c r="K28" s="27"/>
      <c r="L28" s="190"/>
      <c r="M28" s="191"/>
      <c r="N28" s="190"/>
      <c r="O28" s="190"/>
      <c r="P28" s="190"/>
      <c r="Q28" s="190"/>
      <c r="R28" s="191"/>
      <c r="S28" s="191"/>
      <c r="T28" s="191"/>
      <c r="V28" s="22"/>
      <c r="W28" s="22"/>
      <c r="X28" s="22"/>
      <c r="Y28" s="22"/>
      <c r="Z28" s="22"/>
      <c r="AA28" s="22"/>
      <c r="AB28" s="22"/>
      <c r="AC28" s="22"/>
      <c r="AD28" s="22"/>
    </row>
    <row r="29" spans="1:35" ht="15.75" x14ac:dyDescent="0.25">
      <c r="A29" s="80" t="s">
        <v>281</v>
      </c>
      <c r="B29" s="113">
        <v>7980</v>
      </c>
      <c r="C29" s="75">
        <v>0.02</v>
      </c>
      <c r="D29" s="113">
        <v>12980</v>
      </c>
      <c r="E29" s="113">
        <v>8885</v>
      </c>
      <c r="F29" s="113">
        <v>3865</v>
      </c>
      <c r="G29" s="113">
        <v>230</v>
      </c>
      <c r="H29" s="75">
        <v>0.68</v>
      </c>
      <c r="I29" s="75">
        <v>0.3</v>
      </c>
      <c r="J29" s="75">
        <v>0.02</v>
      </c>
      <c r="K29" s="27"/>
      <c r="L29" s="190"/>
      <c r="M29" s="191"/>
      <c r="N29" s="190"/>
      <c r="O29" s="190"/>
      <c r="P29" s="190"/>
      <c r="Q29" s="190"/>
      <c r="R29" s="191"/>
      <c r="S29" s="191"/>
      <c r="T29" s="191"/>
      <c r="V29" s="22"/>
      <c r="W29" s="22"/>
      <c r="X29" s="22"/>
      <c r="Y29" s="22"/>
      <c r="Z29" s="22"/>
      <c r="AA29" s="22"/>
      <c r="AB29" s="22"/>
      <c r="AC29" s="22"/>
      <c r="AD29" s="22"/>
    </row>
    <row r="30" spans="1:35" ht="15.75" x14ac:dyDescent="0.25">
      <c r="A30" s="80" t="s">
        <v>282</v>
      </c>
      <c r="B30" s="113">
        <v>5190</v>
      </c>
      <c r="C30" s="75">
        <v>0.02</v>
      </c>
      <c r="D30" s="113">
        <v>7260</v>
      </c>
      <c r="E30" s="113">
        <v>5195</v>
      </c>
      <c r="F30" s="113">
        <v>1935</v>
      </c>
      <c r="G30" s="113">
        <v>130</v>
      </c>
      <c r="H30" s="75">
        <v>0.72</v>
      </c>
      <c r="I30" s="75">
        <v>0.27</v>
      </c>
      <c r="J30" s="75">
        <v>0.02</v>
      </c>
      <c r="K30" s="27"/>
      <c r="L30" s="190"/>
      <c r="M30" s="191"/>
      <c r="N30" s="190"/>
      <c r="O30" s="190"/>
      <c r="P30" s="190"/>
      <c r="Q30" s="190"/>
      <c r="R30" s="191"/>
      <c r="S30" s="191"/>
      <c r="T30" s="191"/>
      <c r="V30" s="22"/>
      <c r="W30" s="22"/>
      <c r="X30" s="22"/>
      <c r="Y30" s="22"/>
      <c r="Z30" s="22"/>
      <c r="AA30" s="22"/>
      <c r="AB30" s="22"/>
      <c r="AC30" s="22"/>
      <c r="AD30" s="22"/>
    </row>
    <row r="31" spans="1:35" ht="15.75" x14ac:dyDescent="0.25">
      <c r="A31" s="80" t="s">
        <v>283</v>
      </c>
      <c r="B31" s="113">
        <v>13615</v>
      </c>
      <c r="C31" s="75">
        <v>0.04</v>
      </c>
      <c r="D31" s="113">
        <v>6520</v>
      </c>
      <c r="E31" s="113">
        <v>4035</v>
      </c>
      <c r="F31" s="113">
        <v>2215</v>
      </c>
      <c r="G31" s="113">
        <v>270</v>
      </c>
      <c r="H31" s="75">
        <v>0.62</v>
      </c>
      <c r="I31" s="75">
        <v>0.34</v>
      </c>
      <c r="J31" s="75">
        <v>0.04</v>
      </c>
      <c r="K31" s="27"/>
      <c r="L31" s="190"/>
      <c r="M31" s="191"/>
      <c r="N31" s="190"/>
      <c r="O31" s="190"/>
      <c r="P31" s="190"/>
      <c r="Q31" s="190"/>
      <c r="R31" s="191"/>
      <c r="S31" s="191"/>
      <c r="T31" s="191"/>
      <c r="V31" s="22"/>
      <c r="W31" s="22"/>
      <c r="X31" s="22"/>
      <c r="Y31" s="22"/>
      <c r="Z31" s="22"/>
      <c r="AA31" s="22"/>
      <c r="AB31" s="22"/>
      <c r="AC31" s="22"/>
      <c r="AD31" s="22"/>
    </row>
    <row r="32" spans="1:35" ht="15.75" x14ac:dyDescent="0.25">
      <c r="A32" s="80" t="s">
        <v>284</v>
      </c>
      <c r="B32" s="113">
        <v>5985</v>
      </c>
      <c r="C32" s="75">
        <v>0.02</v>
      </c>
      <c r="D32" s="113">
        <v>8080</v>
      </c>
      <c r="E32" s="113">
        <v>4755</v>
      </c>
      <c r="F32" s="113">
        <v>3160</v>
      </c>
      <c r="G32" s="113">
        <v>165</v>
      </c>
      <c r="H32" s="75">
        <v>0.59</v>
      </c>
      <c r="I32" s="75">
        <v>0.39</v>
      </c>
      <c r="J32" s="75">
        <v>0.02</v>
      </c>
      <c r="K32" s="27"/>
      <c r="L32" s="190"/>
      <c r="M32" s="191"/>
      <c r="N32" s="190"/>
      <c r="O32" s="190"/>
      <c r="P32" s="190"/>
      <c r="Q32" s="190"/>
      <c r="R32" s="191"/>
      <c r="S32" s="191"/>
      <c r="T32" s="191"/>
      <c r="V32" s="22"/>
      <c r="W32" s="22"/>
      <c r="X32" s="22"/>
      <c r="Y32" s="22"/>
      <c r="Z32" s="22"/>
      <c r="AA32" s="22"/>
      <c r="AB32" s="22"/>
      <c r="AC32" s="22"/>
      <c r="AD32" s="22"/>
    </row>
    <row r="33" spans="1:30" ht="15.75" x14ac:dyDescent="0.25">
      <c r="A33" s="80" t="s">
        <v>285</v>
      </c>
      <c r="B33" s="113">
        <v>10080</v>
      </c>
      <c r="C33" s="75">
        <v>0.03</v>
      </c>
      <c r="D33" s="113">
        <v>6975</v>
      </c>
      <c r="E33" s="113">
        <v>4545</v>
      </c>
      <c r="F33" s="113">
        <v>2280</v>
      </c>
      <c r="G33" s="113">
        <v>155</v>
      </c>
      <c r="H33" s="75">
        <v>0.65</v>
      </c>
      <c r="I33" s="75">
        <v>0.33</v>
      </c>
      <c r="J33" s="75">
        <v>0.02</v>
      </c>
      <c r="K33" s="27"/>
      <c r="L33" s="190"/>
      <c r="M33" s="191"/>
      <c r="N33" s="190"/>
      <c r="O33" s="190"/>
      <c r="P33" s="190"/>
      <c r="Q33" s="190"/>
      <c r="R33" s="191"/>
      <c r="S33" s="191"/>
      <c r="T33" s="191"/>
      <c r="V33" s="22"/>
      <c r="W33" s="22"/>
      <c r="X33" s="22"/>
      <c r="Y33" s="22"/>
      <c r="Z33" s="22"/>
      <c r="AA33" s="22"/>
      <c r="AB33" s="22"/>
      <c r="AC33" s="22"/>
      <c r="AD33" s="22"/>
    </row>
    <row r="34" spans="1:30" ht="15.75" x14ac:dyDescent="0.25">
      <c r="A34" s="80" t="s">
        <v>263</v>
      </c>
      <c r="B34" s="113">
        <v>13520</v>
      </c>
      <c r="C34" s="75">
        <v>0.04</v>
      </c>
      <c r="D34" s="113">
        <v>9280</v>
      </c>
      <c r="E34" s="113">
        <v>5465</v>
      </c>
      <c r="F34" s="113">
        <v>3600</v>
      </c>
      <c r="G34" s="113">
        <v>215</v>
      </c>
      <c r="H34" s="75">
        <v>0.59</v>
      </c>
      <c r="I34" s="75">
        <v>0.39</v>
      </c>
      <c r="J34" s="75">
        <v>0.02</v>
      </c>
      <c r="K34" s="27"/>
      <c r="L34" s="190"/>
      <c r="M34" s="191"/>
      <c r="N34" s="190"/>
      <c r="O34" s="190"/>
      <c r="P34" s="190"/>
      <c r="Q34" s="190"/>
      <c r="R34" s="191"/>
      <c r="S34" s="191"/>
      <c r="T34" s="191"/>
      <c r="V34" s="22"/>
      <c r="W34" s="22"/>
      <c r="X34" s="22"/>
      <c r="Y34" s="22"/>
      <c r="Z34" s="22"/>
      <c r="AA34" s="22"/>
      <c r="AB34" s="22"/>
      <c r="AC34" s="22"/>
      <c r="AD34" s="22"/>
    </row>
    <row r="35" spans="1:30" ht="15.75" x14ac:dyDescent="0.25">
      <c r="A35" s="80" t="s">
        <v>286</v>
      </c>
      <c r="B35" s="113">
        <v>5520</v>
      </c>
      <c r="C35" s="75">
        <v>0.02</v>
      </c>
      <c r="D35" s="113">
        <v>10020</v>
      </c>
      <c r="E35" s="113">
        <v>5785</v>
      </c>
      <c r="F35" s="113">
        <v>4010</v>
      </c>
      <c r="G35" s="113">
        <v>230</v>
      </c>
      <c r="H35" s="75">
        <v>0.57999999999999996</v>
      </c>
      <c r="I35" s="75">
        <v>0.4</v>
      </c>
      <c r="J35" s="75">
        <v>0.02</v>
      </c>
      <c r="L35" s="190"/>
      <c r="M35" s="191"/>
      <c r="N35" s="190"/>
      <c r="O35" s="190"/>
      <c r="P35" s="190"/>
      <c r="Q35" s="190"/>
      <c r="R35" s="191"/>
      <c r="S35" s="191"/>
      <c r="T35" s="191"/>
      <c r="V35" s="22"/>
      <c r="W35" s="22"/>
      <c r="X35" s="22"/>
      <c r="Y35" s="22"/>
      <c r="Z35" s="22"/>
      <c r="AA35" s="22"/>
      <c r="AB35" s="22"/>
      <c r="AC35" s="22"/>
      <c r="AD35" s="22"/>
    </row>
    <row r="36" spans="1:30" ht="15.75" x14ac:dyDescent="0.25">
      <c r="A36" s="80" t="s">
        <v>287</v>
      </c>
      <c r="B36" s="113">
        <v>4745</v>
      </c>
      <c r="C36" s="75">
        <v>0.01</v>
      </c>
      <c r="D36" s="113">
        <v>9400</v>
      </c>
      <c r="E36" s="113">
        <v>5760</v>
      </c>
      <c r="F36" s="113">
        <v>3445</v>
      </c>
      <c r="G36" s="113">
        <v>195</v>
      </c>
      <c r="H36" s="75">
        <v>0.61</v>
      </c>
      <c r="I36" s="75">
        <v>0.37</v>
      </c>
      <c r="J36" s="75">
        <v>0.02</v>
      </c>
      <c r="L36" s="190"/>
      <c r="M36" s="191"/>
      <c r="N36" s="190"/>
      <c r="O36" s="190"/>
      <c r="P36" s="190"/>
      <c r="Q36" s="190"/>
      <c r="R36" s="191"/>
      <c r="S36" s="191"/>
      <c r="T36" s="191"/>
      <c r="V36" s="22"/>
      <c r="W36" s="22"/>
      <c r="X36" s="22"/>
      <c r="Y36" s="22"/>
      <c r="Z36" s="22"/>
      <c r="AA36" s="22"/>
      <c r="AB36" s="22"/>
      <c r="AC36" s="22"/>
      <c r="AD36" s="22"/>
    </row>
    <row r="37" spans="1:30" ht="15.75" x14ac:dyDescent="0.25">
      <c r="A37" s="80" t="s">
        <v>288</v>
      </c>
      <c r="B37" s="113">
        <v>5475</v>
      </c>
      <c r="C37" s="75">
        <v>0.02</v>
      </c>
      <c r="D37" s="113">
        <v>7820</v>
      </c>
      <c r="E37" s="113">
        <v>5220</v>
      </c>
      <c r="F37" s="113">
        <v>2440</v>
      </c>
      <c r="G37" s="113">
        <v>155</v>
      </c>
      <c r="H37" s="75">
        <v>0.67</v>
      </c>
      <c r="I37" s="75">
        <v>0.31</v>
      </c>
      <c r="J37" s="75">
        <v>0.02</v>
      </c>
      <c r="L37" s="190"/>
      <c r="M37" s="191"/>
      <c r="N37" s="190"/>
      <c r="O37" s="190"/>
      <c r="P37" s="190"/>
      <c r="Q37" s="190"/>
      <c r="R37" s="191"/>
      <c r="S37" s="191"/>
      <c r="T37" s="191"/>
      <c r="V37" s="22"/>
      <c r="W37" s="22"/>
      <c r="X37" s="22"/>
      <c r="Y37" s="22"/>
      <c r="Z37" s="22"/>
      <c r="AA37" s="22"/>
      <c r="AB37" s="22"/>
      <c r="AC37" s="22"/>
      <c r="AD37" s="22"/>
    </row>
    <row r="38" spans="1:30" s="22" customFormat="1" ht="15.75" x14ac:dyDescent="0.25">
      <c r="A38" s="185" t="s">
        <v>683</v>
      </c>
      <c r="B38" s="113">
        <v>17485</v>
      </c>
      <c r="C38" s="186">
        <v>0.05</v>
      </c>
      <c r="D38" s="187">
        <v>16235</v>
      </c>
      <c r="E38" s="187">
        <v>12650</v>
      </c>
      <c r="F38" s="187">
        <v>2220</v>
      </c>
      <c r="G38" s="187">
        <v>1365</v>
      </c>
      <c r="H38" s="188">
        <v>0.78</v>
      </c>
      <c r="I38" s="188">
        <v>0.14000000000000001</v>
      </c>
      <c r="J38" s="188">
        <v>0.08</v>
      </c>
      <c r="L38" s="190"/>
      <c r="M38" s="191"/>
      <c r="N38" s="190"/>
      <c r="O38" s="190"/>
      <c r="P38" s="190"/>
      <c r="Q38" s="190"/>
      <c r="R38" s="191"/>
      <c r="S38" s="191"/>
      <c r="T38" s="191"/>
    </row>
    <row r="39" spans="1:30" s="22" customFormat="1" ht="15.75" x14ac:dyDescent="0.25">
      <c r="A39" s="185" t="s">
        <v>684</v>
      </c>
      <c r="B39" s="113">
        <v>6730</v>
      </c>
      <c r="C39" s="186">
        <v>0.02</v>
      </c>
      <c r="D39" s="187">
        <v>8530</v>
      </c>
      <c r="E39" s="187">
        <v>6555</v>
      </c>
      <c r="F39" s="187">
        <v>1715</v>
      </c>
      <c r="G39" s="187">
        <v>260</v>
      </c>
      <c r="H39" s="188">
        <v>0.77</v>
      </c>
      <c r="I39" s="188">
        <v>0.2</v>
      </c>
      <c r="J39" s="188">
        <v>0.03</v>
      </c>
      <c r="L39" s="190"/>
      <c r="M39" s="191"/>
      <c r="N39" s="190"/>
      <c r="O39" s="190"/>
      <c r="P39" s="190"/>
      <c r="Q39" s="190"/>
      <c r="R39" s="191"/>
      <c r="S39" s="191"/>
      <c r="T39" s="191"/>
    </row>
    <row r="40" spans="1:30" s="22" customFormat="1" ht="15.75" x14ac:dyDescent="0.25">
      <c r="A40" s="185" t="s">
        <v>685</v>
      </c>
      <c r="B40" s="113">
        <v>7200</v>
      </c>
      <c r="C40" s="75">
        <v>0.02</v>
      </c>
      <c r="D40" s="113">
        <v>7570</v>
      </c>
      <c r="E40" s="113">
        <v>5185</v>
      </c>
      <c r="F40" s="113">
        <v>1760</v>
      </c>
      <c r="G40" s="113">
        <v>620</v>
      </c>
      <c r="H40" s="75">
        <v>0.69</v>
      </c>
      <c r="I40" s="75">
        <v>0.23</v>
      </c>
      <c r="J40" s="75">
        <v>0.08</v>
      </c>
      <c r="L40" s="190"/>
      <c r="M40" s="191"/>
      <c r="N40" s="190"/>
      <c r="O40" s="190"/>
      <c r="P40" s="190"/>
      <c r="Q40" s="190"/>
      <c r="R40" s="191"/>
      <c r="S40" s="191"/>
      <c r="T40" s="191"/>
    </row>
    <row r="41" spans="1:30" s="22" customFormat="1" ht="15.75" x14ac:dyDescent="0.25">
      <c r="A41" s="185" t="s">
        <v>742</v>
      </c>
      <c r="B41" s="113">
        <v>5250</v>
      </c>
      <c r="C41" s="75">
        <v>0.02</v>
      </c>
      <c r="D41" s="113">
        <v>5200</v>
      </c>
      <c r="E41" s="113">
        <v>3465</v>
      </c>
      <c r="F41" s="113">
        <v>1300</v>
      </c>
      <c r="G41" s="113">
        <v>435</v>
      </c>
      <c r="H41" s="75">
        <v>0.67</v>
      </c>
      <c r="I41" s="75">
        <v>0.25</v>
      </c>
      <c r="J41" s="75">
        <v>0.08</v>
      </c>
      <c r="L41" s="190"/>
      <c r="M41" s="191"/>
      <c r="N41" s="190"/>
      <c r="O41" s="190"/>
      <c r="P41" s="190"/>
      <c r="Q41" s="190"/>
      <c r="R41" s="191"/>
      <c r="S41" s="191"/>
      <c r="T41" s="191"/>
    </row>
    <row r="42" spans="1:30" s="22" customFormat="1" ht="15.75" x14ac:dyDescent="0.25">
      <c r="A42" s="185" t="s">
        <v>743</v>
      </c>
      <c r="B42" s="113">
        <v>5270</v>
      </c>
      <c r="C42" s="75">
        <v>0.02</v>
      </c>
      <c r="D42" s="113">
        <v>4080</v>
      </c>
      <c r="E42" s="113">
        <v>2695</v>
      </c>
      <c r="F42" s="113">
        <v>990</v>
      </c>
      <c r="G42" s="113">
        <v>395</v>
      </c>
      <c r="H42" s="75">
        <v>0.66</v>
      </c>
      <c r="I42" s="75">
        <v>0.24</v>
      </c>
      <c r="J42" s="75">
        <v>0.1</v>
      </c>
      <c r="L42" s="190"/>
      <c r="M42" s="191"/>
      <c r="N42" s="190"/>
      <c r="O42" s="190"/>
      <c r="P42" s="190"/>
      <c r="Q42" s="190"/>
      <c r="R42" s="191"/>
      <c r="S42" s="191"/>
      <c r="T42" s="191"/>
    </row>
    <row r="43" spans="1:30" s="22" customFormat="1" ht="16.5" thickBot="1" x14ac:dyDescent="0.3">
      <c r="A43" s="189" t="s">
        <v>744</v>
      </c>
      <c r="B43" s="228">
        <v>5610</v>
      </c>
      <c r="C43" s="105">
        <v>0.02</v>
      </c>
      <c r="D43" s="228">
        <v>5455</v>
      </c>
      <c r="E43" s="228">
        <v>3490</v>
      </c>
      <c r="F43" s="228">
        <v>1290</v>
      </c>
      <c r="G43" s="228">
        <v>675</v>
      </c>
      <c r="H43" s="105">
        <v>0.64</v>
      </c>
      <c r="I43" s="105">
        <v>0.24</v>
      </c>
      <c r="J43" s="105">
        <v>0.12</v>
      </c>
      <c r="L43" s="190"/>
      <c r="M43" s="191"/>
      <c r="N43" s="190"/>
      <c r="O43" s="190"/>
      <c r="P43" s="190"/>
      <c r="Q43" s="190"/>
      <c r="R43" s="191"/>
      <c r="S43" s="191"/>
      <c r="T43" s="191"/>
    </row>
    <row r="44" spans="1:30" ht="15.75" x14ac:dyDescent="0.25">
      <c r="A44" s="84" t="s">
        <v>296</v>
      </c>
      <c r="B44" s="113">
        <v>19480</v>
      </c>
      <c r="C44" s="98">
        <v>0.06</v>
      </c>
      <c r="D44" s="113">
        <v>17935</v>
      </c>
      <c r="E44" s="113">
        <v>11505</v>
      </c>
      <c r="F44" s="113">
        <v>6080</v>
      </c>
      <c r="G44" s="113">
        <v>350</v>
      </c>
      <c r="H44" s="75">
        <v>0.64</v>
      </c>
      <c r="I44" s="75">
        <v>0.34</v>
      </c>
      <c r="J44" s="75">
        <v>0.02</v>
      </c>
      <c r="L44" s="190"/>
      <c r="M44" s="191"/>
      <c r="N44" s="190"/>
      <c r="O44" s="190"/>
      <c r="P44" s="190"/>
      <c r="Q44" s="190"/>
      <c r="R44" s="191"/>
      <c r="S44" s="191"/>
      <c r="T44" s="191"/>
      <c r="V44" s="22"/>
      <c r="W44" s="22"/>
      <c r="X44" s="22"/>
      <c r="Y44" s="22"/>
      <c r="Z44" s="22"/>
      <c r="AA44" s="22"/>
      <c r="AB44" s="22"/>
      <c r="AC44" s="22"/>
      <c r="AD44" s="22"/>
    </row>
    <row r="45" spans="1:30" ht="15.75" x14ac:dyDescent="0.25">
      <c r="A45" s="84" t="s">
        <v>297</v>
      </c>
      <c r="B45" s="113">
        <v>128070</v>
      </c>
      <c r="C45" s="75">
        <v>0.4</v>
      </c>
      <c r="D45" s="113">
        <v>120680</v>
      </c>
      <c r="E45" s="113">
        <v>80100</v>
      </c>
      <c r="F45" s="113">
        <v>35375</v>
      </c>
      <c r="G45" s="113">
        <v>5210</v>
      </c>
      <c r="H45" s="75">
        <v>0.66</v>
      </c>
      <c r="I45" s="75">
        <v>0.28999999999999998</v>
      </c>
      <c r="J45" s="75">
        <v>0.04</v>
      </c>
      <c r="L45" s="190"/>
      <c r="M45" s="191"/>
      <c r="N45" s="190"/>
      <c r="O45" s="190"/>
      <c r="P45" s="190"/>
      <c r="Q45" s="190"/>
      <c r="R45" s="191"/>
      <c r="S45" s="191"/>
      <c r="T45" s="191"/>
      <c r="V45" s="22"/>
      <c r="W45" s="22"/>
      <c r="X45" s="22"/>
      <c r="Y45" s="22"/>
      <c r="Z45" s="22"/>
      <c r="AA45" s="22"/>
      <c r="AB45" s="22"/>
      <c r="AC45" s="22"/>
      <c r="AD45" s="22"/>
    </row>
    <row r="46" spans="1:30" ht="15.75" x14ac:dyDescent="0.25">
      <c r="A46" s="84" t="s">
        <v>298</v>
      </c>
      <c r="B46" s="113">
        <v>118600</v>
      </c>
      <c r="C46" s="75">
        <v>0.37</v>
      </c>
      <c r="D46" s="113">
        <v>112435</v>
      </c>
      <c r="E46" s="113">
        <v>76960</v>
      </c>
      <c r="F46" s="113">
        <v>33480</v>
      </c>
      <c r="G46" s="113">
        <v>1995</v>
      </c>
      <c r="H46" s="75">
        <v>0.68</v>
      </c>
      <c r="I46" s="75">
        <v>0.3</v>
      </c>
      <c r="J46" s="75">
        <v>0.02</v>
      </c>
      <c r="L46" s="190"/>
      <c r="M46" s="191"/>
      <c r="N46" s="190"/>
      <c r="O46" s="190"/>
      <c r="P46" s="190"/>
      <c r="Q46" s="190"/>
      <c r="R46" s="191"/>
      <c r="S46" s="191"/>
      <c r="T46" s="191"/>
      <c r="V46" s="22"/>
      <c r="W46" s="22"/>
      <c r="X46" s="22"/>
      <c r="Y46" s="22"/>
      <c r="Z46" s="22"/>
      <c r="AA46" s="22"/>
      <c r="AB46" s="22"/>
      <c r="AC46" s="22"/>
      <c r="AD46" s="22"/>
    </row>
    <row r="47" spans="1:30" ht="15.75" x14ac:dyDescent="0.25">
      <c r="A47" s="84" t="s">
        <v>299</v>
      </c>
      <c r="B47" s="113">
        <v>57760</v>
      </c>
      <c r="C47" s="75">
        <v>0.18</v>
      </c>
      <c r="D47" s="113">
        <v>64295</v>
      </c>
      <c r="E47" s="113">
        <v>45025</v>
      </c>
      <c r="F47" s="113">
        <v>15160</v>
      </c>
      <c r="G47" s="113">
        <v>4105</v>
      </c>
      <c r="H47" s="75">
        <v>0.7</v>
      </c>
      <c r="I47" s="75">
        <v>0.24</v>
      </c>
      <c r="J47" s="75">
        <v>0.06</v>
      </c>
      <c r="L47" s="190"/>
      <c r="M47" s="191"/>
      <c r="N47" s="190"/>
      <c r="O47" s="190"/>
      <c r="P47" s="190"/>
      <c r="Q47" s="190"/>
      <c r="R47" s="191"/>
      <c r="S47" s="191"/>
      <c r="T47" s="191"/>
      <c r="V47" s="22"/>
      <c r="W47" s="22"/>
      <c r="X47" s="22"/>
      <c r="Y47" s="22"/>
      <c r="Z47" s="22"/>
      <c r="AA47" s="22"/>
      <c r="AB47" s="22"/>
      <c r="AC47" s="22"/>
      <c r="AD47" s="22"/>
    </row>
    <row r="48" spans="1:30" s="198" customFormat="1" ht="15.75" x14ac:dyDescent="0.25">
      <c r="A48" s="197" t="s">
        <v>8</v>
      </c>
      <c r="B48" s="197"/>
      <c r="C48" s="197"/>
      <c r="D48" s="197"/>
      <c r="E48" s="197"/>
      <c r="F48" s="197"/>
      <c r="G48" s="197"/>
      <c r="H48" s="197"/>
      <c r="I48" s="197"/>
      <c r="J48" s="197"/>
    </row>
    <row r="49" spans="1:10" s="198" customFormat="1" ht="15.95" customHeight="1" x14ac:dyDescent="0.25">
      <c r="A49" s="200" t="s">
        <v>586</v>
      </c>
      <c r="B49" s="197"/>
      <c r="C49" s="197"/>
      <c r="D49" s="197"/>
      <c r="E49" s="197"/>
      <c r="F49" s="197"/>
      <c r="G49" s="197"/>
      <c r="H49" s="197"/>
      <c r="I49" s="197"/>
      <c r="J49" s="197"/>
    </row>
    <row r="50" spans="1:10" s="198" customFormat="1" ht="15.75" x14ac:dyDescent="0.25">
      <c r="A50" s="200" t="s">
        <v>587</v>
      </c>
      <c r="B50" s="197"/>
      <c r="C50" s="197"/>
      <c r="D50" s="197"/>
      <c r="E50" s="197"/>
      <c r="F50" s="197"/>
      <c r="G50" s="197"/>
      <c r="H50" s="197"/>
      <c r="I50" s="197"/>
      <c r="J50" s="197"/>
    </row>
    <row r="51" spans="1:10" s="198" customFormat="1" ht="17.45" customHeight="1" x14ac:dyDescent="0.25">
      <c r="A51" s="200" t="s">
        <v>600</v>
      </c>
      <c r="B51" s="197"/>
      <c r="C51" s="197"/>
      <c r="D51" s="197"/>
      <c r="E51" s="197"/>
      <c r="F51" s="197"/>
      <c r="G51" s="197"/>
      <c r="H51" s="197"/>
      <c r="I51" s="197"/>
      <c r="J51" s="197"/>
    </row>
    <row r="52" spans="1:10" s="198" customFormat="1" ht="15.75" x14ac:dyDescent="0.25">
      <c r="A52" s="200" t="s">
        <v>753</v>
      </c>
      <c r="B52" s="197"/>
      <c r="C52" s="197"/>
      <c r="D52" s="197"/>
      <c r="E52" s="197"/>
      <c r="F52" s="197"/>
      <c r="G52" s="197"/>
      <c r="H52" s="197"/>
      <c r="I52" s="197"/>
      <c r="J52" s="197"/>
    </row>
    <row r="53" spans="1:10" s="198" customFormat="1" ht="15.75" x14ac:dyDescent="0.25">
      <c r="A53" s="201" t="s">
        <v>589</v>
      </c>
      <c r="B53" s="199"/>
      <c r="C53" s="199"/>
      <c r="D53" s="199"/>
      <c r="E53" s="199"/>
      <c r="F53" s="199"/>
      <c r="G53" s="199"/>
      <c r="H53" s="199"/>
      <c r="I53" s="199"/>
      <c r="J53" s="199"/>
    </row>
    <row r="54" spans="1:10" s="198" customFormat="1" ht="15.75" x14ac:dyDescent="0.25">
      <c r="A54" s="201" t="s">
        <v>591</v>
      </c>
      <c r="B54" s="197"/>
      <c r="C54" s="197"/>
      <c r="D54" s="197"/>
      <c r="E54" s="197"/>
      <c r="F54" s="197"/>
      <c r="G54" s="197"/>
      <c r="H54" s="197"/>
      <c r="I54" s="197"/>
      <c r="J54" s="197"/>
    </row>
    <row r="55" spans="1:10" s="198" customFormat="1" ht="15.75" x14ac:dyDescent="0.25">
      <c r="A55" s="197" t="s">
        <v>592</v>
      </c>
      <c r="B55" s="197"/>
      <c r="C55" s="197"/>
      <c r="D55" s="197"/>
      <c r="E55" s="197"/>
      <c r="F55" s="197"/>
      <c r="G55" s="197"/>
      <c r="H55" s="197"/>
      <c r="I55" s="197"/>
      <c r="J55" s="197"/>
    </row>
    <row r="56" spans="1:10" s="198" customFormat="1" ht="15.75" x14ac:dyDescent="0.25">
      <c r="A56" s="197" t="s">
        <v>593</v>
      </c>
      <c r="B56" s="200"/>
      <c r="C56" s="200"/>
      <c r="D56" s="200"/>
      <c r="E56" s="200"/>
      <c r="F56" s="200"/>
      <c r="G56" s="200"/>
      <c r="H56" s="200"/>
      <c r="I56" s="200"/>
      <c r="J56" s="200"/>
    </row>
    <row r="57" spans="1:10" s="198" customFormat="1" ht="15.75" x14ac:dyDescent="0.25">
      <c r="A57" s="201" t="s">
        <v>594</v>
      </c>
      <c r="B57" s="200"/>
      <c r="C57" s="200"/>
      <c r="D57" s="200"/>
      <c r="E57" s="200"/>
      <c r="F57" s="200"/>
      <c r="G57" s="200"/>
      <c r="H57" s="200"/>
      <c r="I57" s="200"/>
      <c r="J57" s="200"/>
    </row>
    <row r="58" spans="1:10" ht="15.75" x14ac:dyDescent="0.25">
      <c r="B58" s="37"/>
      <c r="C58" s="37"/>
      <c r="D58" s="37"/>
      <c r="E58" s="37"/>
      <c r="F58" s="27"/>
      <c r="G58" s="27"/>
      <c r="H58" s="27"/>
      <c r="I58" s="27"/>
      <c r="J58" s="27"/>
    </row>
    <row r="59" spans="1:10" ht="15.75" x14ac:dyDescent="0.25">
      <c r="B59" s="37"/>
      <c r="C59" s="37"/>
      <c r="D59" s="37"/>
      <c r="E59" s="37"/>
      <c r="F59" s="27"/>
      <c r="G59" s="27"/>
      <c r="H59" s="27"/>
      <c r="I59" s="27"/>
      <c r="J59" s="27"/>
    </row>
    <row r="60" spans="1:10" ht="15.75" x14ac:dyDescent="0.25">
      <c r="B60" s="37"/>
      <c r="C60" s="37"/>
      <c r="D60" s="37"/>
      <c r="E60" s="37"/>
      <c r="F60" s="27"/>
      <c r="G60" s="27"/>
      <c r="H60" s="27"/>
      <c r="I60" s="27"/>
      <c r="J60" s="27"/>
    </row>
  </sheetData>
  <sheetProtection sheet="1" objects="1" scenarios="1"/>
  <conditionalFormatting sqref="AE8:AG19">
    <cfRule type="dataBar" priority="24">
      <dataBar>
        <cfvo type="num" val="0"/>
        <cfvo type="num" val="1"/>
        <color theme="4" tint="-0.249977111117893"/>
      </dataBar>
      <extLst>
        <ext xmlns:x14="http://schemas.microsoft.com/office/spreadsheetml/2009/9/main" uri="{B025F937-C7B1-47D3-B67F-A62EFF666E3E}">
          <x14:id>{D34D26EE-0B9E-488A-B459-0999647BA654}</x14:id>
        </ext>
      </extLst>
    </cfRule>
  </conditionalFormatting>
  <conditionalFormatting sqref="J7:J36 J38:J39 J44:J47">
    <cfRule type="dataBar" priority="19">
      <dataBar>
        <cfvo type="num" val="0"/>
        <cfvo type="num" val="1"/>
        <color rgb="FFB4A9D4"/>
      </dataBar>
      <extLst>
        <ext xmlns:x14="http://schemas.microsoft.com/office/spreadsheetml/2009/9/main" uri="{B025F937-C7B1-47D3-B67F-A62EFF666E3E}">
          <x14:id>{4DFBFD4A-1CD2-4C71-9039-FEA063B61651}</x14:id>
        </ext>
      </extLst>
    </cfRule>
  </conditionalFormatting>
  <conditionalFormatting sqref="C7:C36 C38:C39 C44:C47">
    <cfRule type="dataBar" priority="22">
      <dataBar>
        <cfvo type="num" val="0"/>
        <cfvo type="num" val="1"/>
        <color rgb="FFB4A9D4"/>
      </dataBar>
      <extLst>
        <ext xmlns:x14="http://schemas.microsoft.com/office/spreadsheetml/2009/9/main" uri="{B025F937-C7B1-47D3-B67F-A62EFF666E3E}">
          <x14:id>{353E7874-FAEA-49C6-8480-1C552EC60E0A}</x14:id>
        </ext>
      </extLst>
    </cfRule>
  </conditionalFormatting>
  <conditionalFormatting sqref="H7:H36 H38:H39 H44:H47">
    <cfRule type="dataBar" priority="21">
      <dataBar>
        <cfvo type="num" val="0"/>
        <cfvo type="num" val="1"/>
        <color rgb="FFB4A9D4"/>
      </dataBar>
      <extLst>
        <ext xmlns:x14="http://schemas.microsoft.com/office/spreadsheetml/2009/9/main" uri="{B025F937-C7B1-47D3-B67F-A62EFF666E3E}">
          <x14:id>{FB88801F-3EC4-4A08-953C-FBB99A77F041}</x14:id>
        </ext>
      </extLst>
    </cfRule>
  </conditionalFormatting>
  <conditionalFormatting sqref="I7:I36 I38:I39 I44:I47">
    <cfRule type="dataBar" priority="20">
      <dataBar>
        <cfvo type="num" val="0"/>
        <cfvo type="num" val="1"/>
        <color rgb="FFB4A9D4"/>
      </dataBar>
      <extLst>
        <ext xmlns:x14="http://schemas.microsoft.com/office/spreadsheetml/2009/9/main" uri="{B025F937-C7B1-47D3-B67F-A62EFF666E3E}">
          <x14:id>{F00B3DC5-D32C-45FA-AE08-BCF88824BCB6}</x14:id>
        </ext>
      </extLst>
    </cfRule>
  </conditionalFormatting>
  <conditionalFormatting sqref="J37">
    <cfRule type="dataBar" priority="15">
      <dataBar>
        <cfvo type="num" val="0"/>
        <cfvo type="num" val="1"/>
        <color rgb="FFB4A9D4"/>
      </dataBar>
      <extLst>
        <ext xmlns:x14="http://schemas.microsoft.com/office/spreadsheetml/2009/9/main" uri="{B025F937-C7B1-47D3-B67F-A62EFF666E3E}">
          <x14:id>{F6BB258F-1B34-4CCB-AF3E-7D0B0D1CE09C}</x14:id>
        </ext>
      </extLst>
    </cfRule>
  </conditionalFormatting>
  <conditionalFormatting sqref="C37">
    <cfRule type="dataBar" priority="18">
      <dataBar>
        <cfvo type="num" val="0"/>
        <cfvo type="num" val="1"/>
        <color rgb="FFB4A9D4"/>
      </dataBar>
      <extLst>
        <ext xmlns:x14="http://schemas.microsoft.com/office/spreadsheetml/2009/9/main" uri="{B025F937-C7B1-47D3-B67F-A62EFF666E3E}">
          <x14:id>{EF2BCFCB-44E7-4CD8-AF12-2D9B42A6AFBB}</x14:id>
        </ext>
      </extLst>
    </cfRule>
  </conditionalFormatting>
  <conditionalFormatting sqref="H37">
    <cfRule type="dataBar" priority="17">
      <dataBar>
        <cfvo type="num" val="0"/>
        <cfvo type="num" val="1"/>
        <color rgb="FFB4A9D4"/>
      </dataBar>
      <extLst>
        <ext xmlns:x14="http://schemas.microsoft.com/office/spreadsheetml/2009/9/main" uri="{B025F937-C7B1-47D3-B67F-A62EFF666E3E}">
          <x14:id>{856D7657-A93E-48BB-8719-7A8025615BDF}</x14:id>
        </ext>
      </extLst>
    </cfRule>
  </conditionalFormatting>
  <conditionalFormatting sqref="I37">
    <cfRule type="dataBar" priority="16">
      <dataBar>
        <cfvo type="num" val="0"/>
        <cfvo type="num" val="1"/>
        <color rgb="FFB4A9D4"/>
      </dataBar>
      <extLst>
        <ext xmlns:x14="http://schemas.microsoft.com/office/spreadsheetml/2009/9/main" uri="{B025F937-C7B1-47D3-B67F-A62EFF666E3E}">
          <x14:id>{3F109198-68ED-47E6-896D-75752AFED42D}</x14:id>
        </ext>
      </extLst>
    </cfRule>
  </conditionalFormatting>
  <conditionalFormatting sqref="J40:J43">
    <cfRule type="dataBar" priority="3">
      <dataBar>
        <cfvo type="num" val="0"/>
        <cfvo type="num" val="1"/>
        <color rgb="FFB4A9D4"/>
      </dataBar>
      <extLst>
        <ext xmlns:x14="http://schemas.microsoft.com/office/spreadsheetml/2009/9/main" uri="{B025F937-C7B1-47D3-B67F-A62EFF666E3E}">
          <x14:id>{AC02EDB8-A4F6-47AF-A160-448DB1DBD160}</x14:id>
        </ext>
      </extLst>
    </cfRule>
  </conditionalFormatting>
  <conditionalFormatting sqref="C40:C43">
    <cfRule type="dataBar" priority="6">
      <dataBar>
        <cfvo type="num" val="0"/>
        <cfvo type="num" val="1"/>
        <color rgb="FFB4A9D4"/>
      </dataBar>
      <extLst>
        <ext xmlns:x14="http://schemas.microsoft.com/office/spreadsheetml/2009/9/main" uri="{B025F937-C7B1-47D3-B67F-A62EFF666E3E}">
          <x14:id>{7186E4D5-B2F2-4012-8CA3-F2BE68D51C61}</x14:id>
        </ext>
      </extLst>
    </cfRule>
  </conditionalFormatting>
  <conditionalFormatting sqref="H40:H43">
    <cfRule type="dataBar" priority="5">
      <dataBar>
        <cfvo type="num" val="0"/>
        <cfvo type="num" val="1"/>
        <color rgb="FFB4A9D4"/>
      </dataBar>
      <extLst>
        <ext xmlns:x14="http://schemas.microsoft.com/office/spreadsheetml/2009/9/main" uri="{B025F937-C7B1-47D3-B67F-A62EFF666E3E}">
          <x14:id>{C53DC136-B904-407F-A427-8322E614ADB1}</x14:id>
        </ext>
      </extLst>
    </cfRule>
  </conditionalFormatting>
  <conditionalFormatting sqref="I40:I43">
    <cfRule type="dataBar" priority="4">
      <dataBar>
        <cfvo type="num" val="0"/>
        <cfvo type="num" val="1"/>
        <color rgb="FFB4A9D4"/>
      </dataBar>
      <extLst>
        <ext xmlns:x14="http://schemas.microsoft.com/office/spreadsheetml/2009/9/main" uri="{B025F937-C7B1-47D3-B67F-A62EFF666E3E}">
          <x14:id>{0648E61E-EB38-4C95-A0A4-B63752DCCE45}</x14:id>
        </ext>
      </extLst>
    </cfRule>
  </conditionalFormatting>
  <conditionalFormatting sqref="L44:Q47">
    <cfRule type="cellIs" dxfId="6" priority="1" operator="between">
      <formula>1</formula>
      <formula>2</formula>
    </cfRule>
  </conditionalFormatting>
  <conditionalFormatting sqref="L7:Q43">
    <cfRule type="cellIs" dxfId="5" priority="2" operator="between">
      <formula>1</formula>
      <formula>2</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34D26EE-0B9E-488A-B459-0999647BA654}">
            <x14:dataBar minLength="0" maxLength="100" border="1">
              <x14:cfvo type="num">
                <xm:f>0</xm:f>
              </x14:cfvo>
              <x14:cfvo type="num">
                <xm:f>1</xm:f>
              </x14:cfvo>
              <x14:borderColor theme="8" tint="0.39997558519241921"/>
              <x14:negativeFillColor rgb="FFFF0000"/>
              <x14:axisColor rgb="FF000000"/>
            </x14:dataBar>
          </x14:cfRule>
          <xm:sqref>AE8:AG19</xm:sqref>
        </x14:conditionalFormatting>
        <x14:conditionalFormatting xmlns:xm="http://schemas.microsoft.com/office/excel/2006/main">
          <x14:cfRule type="dataBar" id="{4DFBFD4A-1CD2-4C71-9039-FEA063B61651}">
            <x14:dataBar minLength="0" maxLength="100" gradient="0">
              <x14:cfvo type="num">
                <xm:f>0</xm:f>
              </x14:cfvo>
              <x14:cfvo type="num">
                <xm:f>1</xm:f>
              </x14:cfvo>
              <x14:negativeFillColor rgb="FFFF0000"/>
              <x14:axisColor rgb="FF000000"/>
            </x14:dataBar>
          </x14:cfRule>
          <xm:sqref>J7:J36 J38:J39 J44:J47</xm:sqref>
        </x14:conditionalFormatting>
        <x14:conditionalFormatting xmlns:xm="http://schemas.microsoft.com/office/excel/2006/main">
          <x14:cfRule type="dataBar" id="{353E7874-FAEA-49C6-8480-1C552EC60E0A}">
            <x14:dataBar minLength="0" maxLength="100" gradient="0">
              <x14:cfvo type="num">
                <xm:f>0</xm:f>
              </x14:cfvo>
              <x14:cfvo type="num">
                <xm:f>1</xm:f>
              </x14:cfvo>
              <x14:negativeFillColor rgb="FFFF0000"/>
              <x14:axisColor rgb="FF000000"/>
            </x14:dataBar>
          </x14:cfRule>
          <xm:sqref>C7:C36 C38:C39 C44:C47</xm:sqref>
        </x14:conditionalFormatting>
        <x14:conditionalFormatting xmlns:xm="http://schemas.microsoft.com/office/excel/2006/main">
          <x14:cfRule type="dataBar" id="{FB88801F-3EC4-4A08-953C-FBB99A77F041}">
            <x14:dataBar minLength="0" maxLength="100" gradient="0">
              <x14:cfvo type="num">
                <xm:f>0</xm:f>
              </x14:cfvo>
              <x14:cfvo type="num">
                <xm:f>1</xm:f>
              </x14:cfvo>
              <x14:negativeFillColor rgb="FFFF0000"/>
              <x14:axisColor rgb="FF000000"/>
            </x14:dataBar>
          </x14:cfRule>
          <xm:sqref>H7:H36 H38:H39 H44:H47</xm:sqref>
        </x14:conditionalFormatting>
        <x14:conditionalFormatting xmlns:xm="http://schemas.microsoft.com/office/excel/2006/main">
          <x14:cfRule type="dataBar" id="{F00B3DC5-D32C-45FA-AE08-BCF88824BCB6}">
            <x14:dataBar minLength="0" maxLength="100" gradient="0">
              <x14:cfvo type="num">
                <xm:f>0</xm:f>
              </x14:cfvo>
              <x14:cfvo type="num">
                <xm:f>1</xm:f>
              </x14:cfvo>
              <x14:negativeFillColor rgb="FFFF0000"/>
              <x14:axisColor rgb="FF000000"/>
            </x14:dataBar>
          </x14:cfRule>
          <xm:sqref>I7:I36 I38:I39 I44:I47</xm:sqref>
        </x14:conditionalFormatting>
        <x14:conditionalFormatting xmlns:xm="http://schemas.microsoft.com/office/excel/2006/main">
          <x14:cfRule type="dataBar" id="{F6BB258F-1B34-4CCB-AF3E-7D0B0D1CE09C}">
            <x14:dataBar minLength="0" maxLength="100" gradient="0">
              <x14:cfvo type="num">
                <xm:f>0</xm:f>
              </x14:cfvo>
              <x14:cfvo type="num">
                <xm:f>1</xm:f>
              </x14:cfvo>
              <x14:negativeFillColor rgb="FFFF0000"/>
              <x14:axisColor rgb="FF000000"/>
            </x14:dataBar>
          </x14:cfRule>
          <xm:sqref>J37</xm:sqref>
        </x14:conditionalFormatting>
        <x14:conditionalFormatting xmlns:xm="http://schemas.microsoft.com/office/excel/2006/main">
          <x14:cfRule type="dataBar" id="{EF2BCFCB-44E7-4CD8-AF12-2D9B42A6AFBB}">
            <x14:dataBar minLength="0" maxLength="100" gradient="0">
              <x14:cfvo type="num">
                <xm:f>0</xm:f>
              </x14:cfvo>
              <x14:cfvo type="num">
                <xm:f>1</xm:f>
              </x14:cfvo>
              <x14:negativeFillColor rgb="FFFF0000"/>
              <x14:axisColor rgb="FF000000"/>
            </x14:dataBar>
          </x14:cfRule>
          <xm:sqref>C37</xm:sqref>
        </x14:conditionalFormatting>
        <x14:conditionalFormatting xmlns:xm="http://schemas.microsoft.com/office/excel/2006/main">
          <x14:cfRule type="dataBar" id="{856D7657-A93E-48BB-8719-7A8025615BDF}">
            <x14:dataBar minLength="0" maxLength="100" gradient="0">
              <x14:cfvo type="num">
                <xm:f>0</xm:f>
              </x14:cfvo>
              <x14:cfvo type="num">
                <xm:f>1</xm:f>
              </x14:cfvo>
              <x14:negativeFillColor rgb="FFFF0000"/>
              <x14:axisColor rgb="FF000000"/>
            </x14:dataBar>
          </x14:cfRule>
          <xm:sqref>H37</xm:sqref>
        </x14:conditionalFormatting>
        <x14:conditionalFormatting xmlns:xm="http://schemas.microsoft.com/office/excel/2006/main">
          <x14:cfRule type="dataBar" id="{3F109198-68ED-47E6-896D-75752AFED42D}">
            <x14:dataBar minLength="0" maxLength="100" gradient="0">
              <x14:cfvo type="num">
                <xm:f>0</xm:f>
              </x14:cfvo>
              <x14:cfvo type="num">
                <xm:f>1</xm:f>
              </x14:cfvo>
              <x14:negativeFillColor rgb="FFFF0000"/>
              <x14:axisColor rgb="FF000000"/>
            </x14:dataBar>
          </x14:cfRule>
          <xm:sqref>I37</xm:sqref>
        </x14:conditionalFormatting>
        <x14:conditionalFormatting xmlns:xm="http://schemas.microsoft.com/office/excel/2006/main">
          <x14:cfRule type="dataBar" id="{AC02EDB8-A4F6-47AF-A160-448DB1DBD160}">
            <x14:dataBar minLength="0" maxLength="100" gradient="0">
              <x14:cfvo type="num">
                <xm:f>0</xm:f>
              </x14:cfvo>
              <x14:cfvo type="num">
                <xm:f>1</xm:f>
              </x14:cfvo>
              <x14:negativeFillColor rgb="FFFF0000"/>
              <x14:axisColor rgb="FF000000"/>
            </x14:dataBar>
          </x14:cfRule>
          <xm:sqref>J40:J43</xm:sqref>
        </x14:conditionalFormatting>
        <x14:conditionalFormatting xmlns:xm="http://schemas.microsoft.com/office/excel/2006/main">
          <x14:cfRule type="dataBar" id="{7186E4D5-B2F2-4012-8CA3-F2BE68D51C61}">
            <x14:dataBar minLength="0" maxLength="100" gradient="0">
              <x14:cfvo type="num">
                <xm:f>0</xm:f>
              </x14:cfvo>
              <x14:cfvo type="num">
                <xm:f>1</xm:f>
              </x14:cfvo>
              <x14:negativeFillColor rgb="FFFF0000"/>
              <x14:axisColor rgb="FF000000"/>
            </x14:dataBar>
          </x14:cfRule>
          <xm:sqref>C40:C43</xm:sqref>
        </x14:conditionalFormatting>
        <x14:conditionalFormatting xmlns:xm="http://schemas.microsoft.com/office/excel/2006/main">
          <x14:cfRule type="dataBar" id="{C53DC136-B904-407F-A427-8322E614ADB1}">
            <x14:dataBar minLength="0" maxLength="100" gradient="0">
              <x14:cfvo type="num">
                <xm:f>0</xm:f>
              </x14:cfvo>
              <x14:cfvo type="num">
                <xm:f>1</xm:f>
              </x14:cfvo>
              <x14:negativeFillColor rgb="FFFF0000"/>
              <x14:axisColor rgb="FF000000"/>
            </x14:dataBar>
          </x14:cfRule>
          <xm:sqref>H40:H43</xm:sqref>
        </x14:conditionalFormatting>
        <x14:conditionalFormatting xmlns:xm="http://schemas.microsoft.com/office/excel/2006/main">
          <x14:cfRule type="dataBar" id="{0648E61E-EB38-4C95-A0A4-B63752DCCE45}">
            <x14:dataBar minLength="0" maxLength="100" gradient="0">
              <x14:cfvo type="num">
                <xm:f>0</xm:f>
              </x14:cfvo>
              <x14:cfvo type="num">
                <xm:f>1</xm:f>
              </x14:cfvo>
              <x14:negativeFillColor rgb="FFFF0000"/>
              <x14:axisColor rgb="FF000000"/>
            </x14:dataBar>
          </x14:cfRule>
          <xm:sqref>I40:I43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1"/>
  <sheetViews>
    <sheetView zoomScale="75" zoomScaleNormal="75" workbookViewId="0"/>
  </sheetViews>
  <sheetFormatPr defaultRowHeight="15" x14ac:dyDescent="0.25"/>
  <cols>
    <col min="1" max="1" width="41" customWidth="1"/>
    <col min="2" max="11" width="16.28515625" customWidth="1"/>
  </cols>
  <sheetData>
    <row r="1" spans="1:11" ht="64.5" customHeight="1" x14ac:dyDescent="0.25">
      <c r="A1" s="108" t="s">
        <v>450</v>
      </c>
      <c r="B1" s="109" t="s">
        <v>51</v>
      </c>
      <c r="C1" s="109" t="s">
        <v>314</v>
      </c>
      <c r="D1" s="109" t="s">
        <v>60</v>
      </c>
      <c r="E1" s="109" t="s">
        <v>22</v>
      </c>
      <c r="F1" s="109" t="s">
        <v>451</v>
      </c>
      <c r="G1" s="109" t="s">
        <v>452</v>
      </c>
      <c r="H1" s="109" t="s">
        <v>453</v>
      </c>
      <c r="I1" s="109" t="s">
        <v>315</v>
      </c>
      <c r="J1" s="109" t="s">
        <v>316</v>
      </c>
      <c r="K1" s="109" t="s">
        <v>317</v>
      </c>
    </row>
    <row r="2" spans="1:11" x14ac:dyDescent="0.25">
      <c r="A2" t="s">
        <v>467</v>
      </c>
      <c r="B2" s="8">
        <v>0</v>
      </c>
      <c r="C2" s="8">
        <v>0</v>
      </c>
      <c r="D2" s="8">
        <v>0</v>
      </c>
      <c r="E2" s="8">
        <v>0</v>
      </c>
      <c r="F2" s="8">
        <v>0</v>
      </c>
      <c r="G2" s="8">
        <v>0</v>
      </c>
      <c r="H2" s="8">
        <v>0</v>
      </c>
      <c r="I2" s="8">
        <v>0</v>
      </c>
      <c r="J2" s="8">
        <v>0</v>
      </c>
      <c r="K2" s="8">
        <v>0</v>
      </c>
    </row>
    <row r="3" spans="1:11" x14ac:dyDescent="0.25">
      <c r="A3" t="s">
        <v>454</v>
      </c>
      <c r="B3" s="8">
        <v>54705</v>
      </c>
      <c r="C3" s="22">
        <v>0.43</v>
      </c>
      <c r="D3" s="8">
        <v>47325</v>
      </c>
      <c r="E3" s="8">
        <v>0.39</v>
      </c>
      <c r="F3" s="8">
        <v>30405</v>
      </c>
      <c r="G3" s="8">
        <v>14750</v>
      </c>
      <c r="H3" s="8">
        <v>2170</v>
      </c>
      <c r="I3" s="8">
        <v>0.64</v>
      </c>
      <c r="J3" s="8">
        <v>0.31</v>
      </c>
      <c r="K3" s="8">
        <v>0.05</v>
      </c>
    </row>
    <row r="4" spans="1:11" x14ac:dyDescent="0.25">
      <c r="A4" t="s">
        <v>455</v>
      </c>
      <c r="B4" s="8">
        <v>77300</v>
      </c>
      <c r="C4" s="22">
        <v>0.65</v>
      </c>
      <c r="D4" s="8">
        <v>73645</v>
      </c>
      <c r="E4" s="8">
        <v>0.65</v>
      </c>
      <c r="F4" s="8">
        <v>46440</v>
      </c>
      <c r="G4" s="8">
        <v>25860</v>
      </c>
      <c r="H4" s="8">
        <v>1345</v>
      </c>
      <c r="I4" s="8">
        <v>0.63</v>
      </c>
      <c r="J4" s="8">
        <v>0.35</v>
      </c>
      <c r="K4" s="8">
        <v>0.02</v>
      </c>
    </row>
    <row r="5" spans="1:11" x14ac:dyDescent="0.25">
      <c r="A5" t="s">
        <v>456</v>
      </c>
      <c r="B5" s="8">
        <v>38830</v>
      </c>
      <c r="C5" s="22">
        <v>0.67</v>
      </c>
      <c r="D5" s="8">
        <v>42835</v>
      </c>
      <c r="E5" s="8">
        <v>0.67</v>
      </c>
      <c r="F5" s="8">
        <v>26445</v>
      </c>
      <c r="G5" s="8">
        <v>14120</v>
      </c>
      <c r="H5" s="8">
        <v>2270</v>
      </c>
      <c r="I5" s="8">
        <v>0.62</v>
      </c>
      <c r="J5" s="8">
        <v>0.33</v>
      </c>
      <c r="K5" s="8">
        <v>0.05</v>
      </c>
    </row>
    <row r="6" spans="1:11" x14ac:dyDescent="0.25">
      <c r="A6" t="s">
        <v>457</v>
      </c>
      <c r="B6" s="8">
        <v>170840</v>
      </c>
      <c r="C6" s="22">
        <v>0.53</v>
      </c>
      <c r="D6" s="8">
        <v>163825</v>
      </c>
      <c r="E6" s="8">
        <v>0.52</v>
      </c>
      <c r="F6" s="8">
        <v>103290</v>
      </c>
      <c r="G6" s="8">
        <v>54730</v>
      </c>
      <c r="H6" s="8">
        <v>5810</v>
      </c>
      <c r="I6" s="8">
        <v>0.63</v>
      </c>
      <c r="J6" s="8">
        <v>0.33</v>
      </c>
      <c r="K6" s="8">
        <v>0.04</v>
      </c>
    </row>
    <row r="7" spans="1:11" x14ac:dyDescent="0.25">
      <c r="A7" t="s">
        <v>468</v>
      </c>
      <c r="B7" s="8">
        <v>0</v>
      </c>
      <c r="C7" s="8">
        <v>0</v>
      </c>
      <c r="D7" s="8">
        <v>0</v>
      </c>
      <c r="E7" s="8">
        <v>0</v>
      </c>
      <c r="F7" s="8">
        <v>0</v>
      </c>
      <c r="G7" s="8">
        <v>0</v>
      </c>
      <c r="H7" s="8">
        <v>0</v>
      </c>
      <c r="I7" s="8">
        <v>0</v>
      </c>
      <c r="J7" s="8">
        <v>0</v>
      </c>
      <c r="K7" s="8">
        <v>0</v>
      </c>
    </row>
    <row r="8" spans="1:11" x14ac:dyDescent="0.25">
      <c r="A8" t="s">
        <v>469</v>
      </c>
      <c r="B8" s="192">
        <v>49275</v>
      </c>
      <c r="C8" s="22">
        <v>0.38</v>
      </c>
      <c r="D8" s="192">
        <v>46575</v>
      </c>
      <c r="E8" s="8">
        <v>0.39</v>
      </c>
      <c r="F8" s="192">
        <v>31055</v>
      </c>
      <c r="G8" s="192">
        <v>13920</v>
      </c>
      <c r="H8" s="192">
        <v>1595</v>
      </c>
      <c r="I8" s="8">
        <v>0.67</v>
      </c>
      <c r="J8" s="8">
        <v>0.3</v>
      </c>
      <c r="K8" s="8">
        <v>0.03</v>
      </c>
    </row>
    <row r="9" spans="1:11" x14ac:dyDescent="0.25">
      <c r="A9" t="s">
        <v>470</v>
      </c>
      <c r="B9" s="192">
        <v>38475</v>
      </c>
      <c r="C9" s="22">
        <v>0.32</v>
      </c>
      <c r="D9" s="192">
        <v>36345</v>
      </c>
      <c r="E9" s="8">
        <v>0.32</v>
      </c>
      <c r="F9" s="192">
        <v>20470</v>
      </c>
      <c r="G9" s="192">
        <v>15255</v>
      </c>
      <c r="H9" s="192">
        <v>620</v>
      </c>
      <c r="I9" s="8">
        <v>0.56000000000000005</v>
      </c>
      <c r="J9" s="8">
        <v>0.42</v>
      </c>
      <c r="K9" s="8">
        <v>0.02</v>
      </c>
    </row>
    <row r="10" spans="1:11" x14ac:dyDescent="0.25">
      <c r="A10" t="s">
        <v>471</v>
      </c>
      <c r="B10" s="192">
        <v>17290</v>
      </c>
      <c r="C10" s="22">
        <v>0.3</v>
      </c>
      <c r="D10" s="192">
        <v>19425</v>
      </c>
      <c r="E10" s="8">
        <v>0.3</v>
      </c>
      <c r="F10" s="192">
        <v>10640</v>
      </c>
      <c r="G10" s="192">
        <v>7495</v>
      </c>
      <c r="H10" s="192">
        <v>1290</v>
      </c>
      <c r="I10" s="8">
        <v>0.55000000000000004</v>
      </c>
      <c r="J10" s="8">
        <v>0.39</v>
      </c>
      <c r="K10" s="8">
        <v>7.0000000000000007E-2</v>
      </c>
    </row>
    <row r="11" spans="1:11" x14ac:dyDescent="0.25">
      <c r="A11" t="s">
        <v>472</v>
      </c>
      <c r="B11" s="192">
        <v>105040</v>
      </c>
      <c r="C11" s="8">
        <v>0.32</v>
      </c>
      <c r="D11" s="192">
        <v>102345</v>
      </c>
      <c r="E11" s="8">
        <v>0.32</v>
      </c>
      <c r="F11" s="192">
        <v>62170</v>
      </c>
      <c r="G11" s="192">
        <v>36665</v>
      </c>
      <c r="H11" s="192">
        <v>3510</v>
      </c>
      <c r="I11" s="8">
        <v>0.61</v>
      </c>
      <c r="J11" s="8">
        <v>0.36</v>
      </c>
      <c r="K11" s="8">
        <v>0.03</v>
      </c>
    </row>
    <row r="12" spans="1:11" x14ac:dyDescent="0.25">
      <c r="A12" t="s">
        <v>458</v>
      </c>
      <c r="B12" s="192">
        <v>18770</v>
      </c>
      <c r="C12" s="8">
        <v>0.96</v>
      </c>
      <c r="D12" s="192">
        <v>17535</v>
      </c>
      <c r="E12" s="8">
        <v>0.98</v>
      </c>
      <c r="F12" s="192">
        <v>11320</v>
      </c>
      <c r="G12" s="192">
        <v>5995</v>
      </c>
      <c r="H12" s="192">
        <v>225</v>
      </c>
      <c r="I12" s="8">
        <v>0.65</v>
      </c>
      <c r="J12" s="8">
        <v>0.34</v>
      </c>
      <c r="K12" s="8">
        <v>0.01</v>
      </c>
    </row>
    <row r="13" spans="1:11" x14ac:dyDescent="0.25">
      <c r="A13" t="s">
        <v>459</v>
      </c>
      <c r="B13" s="192">
        <v>35225</v>
      </c>
      <c r="C13" s="8">
        <v>0.28000000000000003</v>
      </c>
      <c r="D13" s="192">
        <v>32760</v>
      </c>
      <c r="E13" s="8">
        <v>0.27</v>
      </c>
      <c r="F13" s="192">
        <v>15490</v>
      </c>
      <c r="G13" s="192">
        <v>15305</v>
      </c>
      <c r="H13" s="192">
        <v>1965</v>
      </c>
      <c r="I13" s="8">
        <v>0.47</v>
      </c>
      <c r="J13" s="8">
        <v>0.47</v>
      </c>
      <c r="K13" s="8">
        <v>0.06</v>
      </c>
    </row>
    <row r="14" spans="1:11" x14ac:dyDescent="0.25">
      <c r="A14" t="s">
        <v>460</v>
      </c>
      <c r="B14" s="192">
        <v>34035</v>
      </c>
      <c r="C14" s="8">
        <v>0.28999999999999998</v>
      </c>
      <c r="D14" s="192">
        <v>32525</v>
      </c>
      <c r="E14" s="8">
        <v>0.28999999999999998</v>
      </c>
      <c r="F14" s="192">
        <v>16385</v>
      </c>
      <c r="G14" s="192">
        <v>15530</v>
      </c>
      <c r="H14" s="192">
        <v>610</v>
      </c>
      <c r="I14" s="8">
        <v>0.5</v>
      </c>
      <c r="J14" s="8">
        <v>0.48</v>
      </c>
      <c r="K14" s="8">
        <v>0.02</v>
      </c>
    </row>
    <row r="15" spans="1:11" x14ac:dyDescent="0.25">
      <c r="A15" t="s">
        <v>461</v>
      </c>
      <c r="B15" s="192">
        <v>21185</v>
      </c>
      <c r="C15" s="8">
        <v>0.37</v>
      </c>
      <c r="D15" s="192">
        <v>22135</v>
      </c>
      <c r="E15" s="8">
        <v>0.34</v>
      </c>
      <c r="F15" s="192">
        <v>10765</v>
      </c>
      <c r="G15" s="192">
        <v>10925</v>
      </c>
      <c r="H15" s="192">
        <v>445</v>
      </c>
      <c r="I15" s="8">
        <v>0.49</v>
      </c>
      <c r="J15" s="8">
        <v>0.49</v>
      </c>
      <c r="K15" s="8">
        <v>0.02</v>
      </c>
    </row>
    <row r="16" spans="1:11" x14ac:dyDescent="0.25">
      <c r="A16" t="s">
        <v>462</v>
      </c>
      <c r="B16" s="192">
        <v>109220</v>
      </c>
      <c r="C16" s="8">
        <v>0.34</v>
      </c>
      <c r="D16" s="192">
        <v>104960</v>
      </c>
      <c r="E16" s="8">
        <v>0.33</v>
      </c>
      <c r="F16" s="192">
        <v>53960</v>
      </c>
      <c r="G16" s="192">
        <v>47755</v>
      </c>
      <c r="H16" s="192">
        <v>3245</v>
      </c>
      <c r="I16" s="8">
        <v>0.51</v>
      </c>
      <c r="J16" s="8">
        <v>0.45</v>
      </c>
      <c r="K16" s="8">
        <v>0.03</v>
      </c>
    </row>
    <row r="17" spans="1:11" x14ac:dyDescent="0.25">
      <c r="A17" t="s">
        <v>473</v>
      </c>
      <c r="B17" s="8">
        <v>0</v>
      </c>
      <c r="C17" s="8">
        <v>0</v>
      </c>
      <c r="D17" s="8">
        <v>0</v>
      </c>
      <c r="E17" s="8">
        <v>0</v>
      </c>
      <c r="F17" s="8">
        <v>0</v>
      </c>
      <c r="G17" s="8">
        <v>0</v>
      </c>
      <c r="H17" s="8">
        <v>0</v>
      </c>
      <c r="I17" s="8">
        <v>0</v>
      </c>
      <c r="J17" s="8">
        <v>0</v>
      </c>
      <c r="K17" s="8">
        <v>0</v>
      </c>
    </row>
    <row r="18" spans="1:11" x14ac:dyDescent="0.25">
      <c r="A18" t="s">
        <v>463</v>
      </c>
      <c r="B18" s="192">
        <v>27285</v>
      </c>
      <c r="C18" s="8">
        <v>0.21</v>
      </c>
      <c r="D18" s="192">
        <v>26515</v>
      </c>
      <c r="E18">
        <v>0.22</v>
      </c>
      <c r="F18" s="192">
        <v>18160</v>
      </c>
      <c r="G18" s="192">
        <v>7570</v>
      </c>
      <c r="H18" s="192">
        <v>785</v>
      </c>
      <c r="I18" s="8">
        <v>0.68</v>
      </c>
      <c r="J18" s="8">
        <v>0.28999999999999998</v>
      </c>
      <c r="K18" s="8">
        <v>0.03</v>
      </c>
    </row>
    <row r="19" spans="1:11" x14ac:dyDescent="0.25">
      <c r="A19" t="s">
        <v>464</v>
      </c>
      <c r="B19" s="192">
        <v>33155</v>
      </c>
      <c r="C19" s="8">
        <v>0.28000000000000003</v>
      </c>
      <c r="D19" s="192">
        <v>32075</v>
      </c>
      <c r="E19">
        <v>0.28999999999999998</v>
      </c>
      <c r="F19" s="192">
        <v>21585</v>
      </c>
      <c r="G19" s="192">
        <v>10130</v>
      </c>
      <c r="H19" s="192">
        <v>360</v>
      </c>
      <c r="I19" s="8">
        <v>0.67</v>
      </c>
      <c r="J19" s="8">
        <v>0.32</v>
      </c>
      <c r="K19" s="8">
        <v>0.01</v>
      </c>
    </row>
    <row r="20" spans="1:11" x14ac:dyDescent="0.25">
      <c r="A20" t="s">
        <v>465</v>
      </c>
      <c r="B20" s="192">
        <v>19830</v>
      </c>
      <c r="C20" s="8">
        <v>0.34</v>
      </c>
      <c r="D20" s="192">
        <v>20410</v>
      </c>
      <c r="E20">
        <v>0.32</v>
      </c>
      <c r="F20" s="192">
        <v>15400</v>
      </c>
      <c r="G20" s="192">
        <v>3525</v>
      </c>
      <c r="H20" s="192">
        <v>1485</v>
      </c>
      <c r="I20" s="8">
        <v>0.75</v>
      </c>
      <c r="J20" s="8">
        <v>0.17</v>
      </c>
      <c r="K20" s="8">
        <v>7.0000000000000007E-2</v>
      </c>
    </row>
    <row r="21" spans="1:11" x14ac:dyDescent="0.25">
      <c r="A21" t="s">
        <v>466</v>
      </c>
      <c r="B21" s="192">
        <v>80270</v>
      </c>
      <c r="C21" s="8">
        <v>0.25</v>
      </c>
      <c r="D21" s="192">
        <v>79000</v>
      </c>
      <c r="E21">
        <v>0.25</v>
      </c>
      <c r="F21" s="192">
        <v>55150</v>
      </c>
      <c r="G21" s="192">
        <v>21225</v>
      </c>
      <c r="H21" s="192">
        <v>2630</v>
      </c>
      <c r="I21" s="8">
        <v>0.7</v>
      </c>
      <c r="J21" s="8">
        <v>0.27</v>
      </c>
      <c r="K21" s="8">
        <v>0.03</v>
      </c>
    </row>
    <row r="22" spans="1:11" x14ac:dyDescent="0.25">
      <c r="A22" t="s">
        <v>197</v>
      </c>
      <c r="B22" s="192">
        <v>19480</v>
      </c>
      <c r="C22" s="8">
        <v>1</v>
      </c>
      <c r="D22" s="192">
        <v>17935</v>
      </c>
      <c r="E22" s="8">
        <v>1</v>
      </c>
      <c r="F22" s="192">
        <v>11505</v>
      </c>
      <c r="G22" s="192">
        <v>6080</v>
      </c>
      <c r="H22" s="192">
        <v>350</v>
      </c>
      <c r="I22" s="8">
        <v>0.64</v>
      </c>
      <c r="J22" s="8">
        <v>0.34</v>
      </c>
      <c r="K22" s="8">
        <v>0.02</v>
      </c>
    </row>
    <row r="23" spans="1:11" x14ac:dyDescent="0.25">
      <c r="A23" t="s">
        <v>198</v>
      </c>
      <c r="B23" s="192">
        <v>128070</v>
      </c>
      <c r="C23" s="8">
        <v>1</v>
      </c>
      <c r="D23" s="192">
        <v>120680</v>
      </c>
      <c r="E23" s="8">
        <v>1</v>
      </c>
      <c r="F23" s="192">
        <v>80100</v>
      </c>
      <c r="G23" s="192">
        <v>35375</v>
      </c>
      <c r="H23" s="192">
        <v>5210</v>
      </c>
      <c r="I23" s="8">
        <v>0.66</v>
      </c>
      <c r="J23" s="8">
        <v>0.28999999999999998</v>
      </c>
      <c r="K23" s="8">
        <v>0.04</v>
      </c>
    </row>
    <row r="24" spans="1:11" x14ac:dyDescent="0.25">
      <c r="A24" t="s">
        <v>199</v>
      </c>
      <c r="B24" s="192">
        <v>118600</v>
      </c>
      <c r="C24" s="8">
        <v>1</v>
      </c>
      <c r="D24" s="192">
        <v>112435</v>
      </c>
      <c r="E24" s="8">
        <v>1</v>
      </c>
      <c r="F24" s="192">
        <v>76960</v>
      </c>
      <c r="G24" s="192">
        <v>33480</v>
      </c>
      <c r="H24" s="192">
        <v>1995</v>
      </c>
      <c r="I24" s="8">
        <v>0.68</v>
      </c>
      <c r="J24" s="8">
        <v>0.3</v>
      </c>
      <c r="K24" s="8">
        <v>0.02</v>
      </c>
    </row>
    <row r="25" spans="1:11" x14ac:dyDescent="0.25">
      <c r="A25" t="s">
        <v>200</v>
      </c>
      <c r="B25" s="192">
        <v>57760</v>
      </c>
      <c r="C25" s="8">
        <v>1</v>
      </c>
      <c r="D25" s="192">
        <v>64295</v>
      </c>
      <c r="E25" s="8">
        <v>1</v>
      </c>
      <c r="F25" s="192">
        <v>45025</v>
      </c>
      <c r="G25" s="192">
        <v>15160</v>
      </c>
      <c r="H25" s="192">
        <v>4105</v>
      </c>
      <c r="I25" s="8">
        <v>0.7</v>
      </c>
      <c r="J25" s="8">
        <v>0.24</v>
      </c>
      <c r="K25" s="8">
        <v>0.06</v>
      </c>
    </row>
    <row r="26" spans="1:11" x14ac:dyDescent="0.25">
      <c r="A26" t="s">
        <v>254</v>
      </c>
      <c r="B26" s="192">
        <v>323915</v>
      </c>
      <c r="C26" s="8">
        <v>1</v>
      </c>
      <c r="D26" s="192">
        <v>315340</v>
      </c>
      <c r="E26" s="8">
        <v>1</v>
      </c>
      <c r="F26" s="192">
        <v>213585</v>
      </c>
      <c r="G26" s="192">
        <v>90095</v>
      </c>
      <c r="H26" s="192">
        <v>11660</v>
      </c>
      <c r="I26" s="8">
        <v>0.68</v>
      </c>
      <c r="J26" s="8">
        <v>0.28999999999999998</v>
      </c>
      <c r="K26" s="8">
        <v>0.04</v>
      </c>
    </row>
    <row r="27" spans="1:11" x14ac:dyDescent="0.25">
      <c r="A27" t="s">
        <v>380</v>
      </c>
      <c r="B27" s="192">
        <v>705</v>
      </c>
      <c r="C27" s="8">
        <v>0.04</v>
      </c>
      <c r="D27" s="192">
        <v>400</v>
      </c>
      <c r="E27" s="8">
        <v>0.02</v>
      </c>
      <c r="F27" s="192">
        <v>20</v>
      </c>
      <c r="G27" s="192">
        <v>250</v>
      </c>
      <c r="H27" s="192">
        <v>130</v>
      </c>
      <c r="I27" s="8">
        <v>0.05</v>
      </c>
      <c r="J27" s="8">
        <v>0.63</v>
      </c>
      <c r="K27" s="8">
        <v>0.32</v>
      </c>
    </row>
    <row r="28" spans="1:11" x14ac:dyDescent="0.25">
      <c r="A28" t="s">
        <v>381</v>
      </c>
      <c r="B28" s="192">
        <v>16100</v>
      </c>
      <c r="C28" s="8">
        <v>0.13</v>
      </c>
      <c r="D28" s="192">
        <v>15560</v>
      </c>
      <c r="E28" s="8">
        <v>0.13</v>
      </c>
      <c r="F28" s="192">
        <v>295</v>
      </c>
      <c r="G28" s="192">
        <v>14375</v>
      </c>
      <c r="H28" s="192">
        <v>895</v>
      </c>
      <c r="I28" s="8">
        <v>0.02</v>
      </c>
      <c r="J28" s="8">
        <v>0.92</v>
      </c>
      <c r="K28" s="8">
        <v>0.06</v>
      </c>
    </row>
    <row r="29" spans="1:11" x14ac:dyDescent="0.25">
      <c r="A29" t="s">
        <v>382</v>
      </c>
      <c r="B29" s="192">
        <v>14300</v>
      </c>
      <c r="C29" s="8">
        <v>0.12</v>
      </c>
      <c r="D29" s="192">
        <v>12820</v>
      </c>
      <c r="E29" s="8">
        <v>0.11</v>
      </c>
      <c r="F29" s="192">
        <v>1090</v>
      </c>
      <c r="G29" s="192">
        <v>11410</v>
      </c>
      <c r="H29" s="192">
        <v>320</v>
      </c>
      <c r="I29" s="8">
        <v>0.09</v>
      </c>
      <c r="J29" s="8">
        <v>0.89</v>
      </c>
      <c r="K29" s="8">
        <v>0.02</v>
      </c>
    </row>
    <row r="30" spans="1:11" x14ac:dyDescent="0.25">
      <c r="A30" t="s">
        <v>383</v>
      </c>
      <c r="B30" s="192">
        <v>4185</v>
      </c>
      <c r="C30" s="8">
        <v>7.0000000000000007E-2</v>
      </c>
      <c r="D30" s="192">
        <v>5785</v>
      </c>
      <c r="E30" s="8">
        <v>0.09</v>
      </c>
      <c r="F30" s="192">
        <v>575</v>
      </c>
      <c r="G30" s="192">
        <v>4650</v>
      </c>
      <c r="H30" s="192">
        <v>560</v>
      </c>
      <c r="I30" s="8">
        <v>0.1</v>
      </c>
      <c r="J30" s="8">
        <v>0.8</v>
      </c>
      <c r="K30" s="8">
        <v>0.1</v>
      </c>
    </row>
    <row r="31" spans="1:11" x14ac:dyDescent="0.25">
      <c r="A31" t="s">
        <v>384</v>
      </c>
      <c r="B31" s="192">
        <v>35295</v>
      </c>
      <c r="C31" s="8">
        <v>0.11</v>
      </c>
      <c r="D31" s="192">
        <v>34560</v>
      </c>
      <c r="E31" s="8">
        <v>0.11</v>
      </c>
      <c r="F31" s="192">
        <v>1980</v>
      </c>
      <c r="G31" s="192">
        <v>30680</v>
      </c>
      <c r="H31" s="192">
        <v>1900</v>
      </c>
      <c r="I31" s="8">
        <v>0.06</v>
      </c>
      <c r="J31" s="8">
        <v>0.89</v>
      </c>
      <c r="K31" s="8">
        <v>0.05</v>
      </c>
    </row>
  </sheetData>
  <sheetProtection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6"/>
  <sheetViews>
    <sheetView zoomScale="75" zoomScaleNormal="75" workbookViewId="0"/>
  </sheetViews>
  <sheetFormatPr defaultRowHeight="15" x14ac:dyDescent="0.25"/>
  <cols>
    <col min="1" max="1" width="20.28515625" customWidth="1"/>
    <col min="2" max="12" width="17.5703125" customWidth="1"/>
  </cols>
  <sheetData>
    <row r="1" spans="1:12" ht="63" x14ac:dyDescent="0.25">
      <c r="A1" s="95" t="s">
        <v>59</v>
      </c>
      <c r="B1" s="92" t="s">
        <v>724</v>
      </c>
      <c r="C1" s="92" t="s">
        <v>314</v>
      </c>
      <c r="D1" s="92" t="s">
        <v>60</v>
      </c>
      <c r="E1" s="92" t="s">
        <v>725</v>
      </c>
      <c r="F1" s="92" t="s">
        <v>452</v>
      </c>
      <c r="G1" s="92" t="s">
        <v>453</v>
      </c>
      <c r="H1" s="92" t="s">
        <v>315</v>
      </c>
      <c r="I1" s="92" t="s">
        <v>316</v>
      </c>
      <c r="J1" s="72" t="s">
        <v>317</v>
      </c>
      <c r="L1" s="72" t="s">
        <v>213</v>
      </c>
    </row>
    <row r="2" spans="1:12" ht="15.75" thickBot="1" x14ac:dyDescent="0.3">
      <c r="A2" s="93" t="s">
        <v>390</v>
      </c>
      <c r="B2" s="8">
        <v>5775</v>
      </c>
      <c r="C2" s="73">
        <v>0.3</v>
      </c>
      <c r="D2" s="8">
        <v>5285</v>
      </c>
      <c r="E2" s="8">
        <v>3175</v>
      </c>
      <c r="F2" s="8">
        <v>2000</v>
      </c>
      <c r="G2" s="8">
        <v>110</v>
      </c>
      <c r="H2" s="73">
        <v>0.6</v>
      </c>
      <c r="I2" s="73">
        <v>0.38</v>
      </c>
      <c r="J2" s="73">
        <v>0.02</v>
      </c>
      <c r="L2" s="22" t="s">
        <v>209</v>
      </c>
    </row>
    <row r="3" spans="1:12" ht="15.75" thickBot="1" x14ac:dyDescent="0.3">
      <c r="A3" s="93" t="s">
        <v>391</v>
      </c>
      <c r="B3" s="8">
        <v>28065</v>
      </c>
      <c r="C3" s="73">
        <v>0.22</v>
      </c>
      <c r="D3" s="8">
        <v>26220</v>
      </c>
      <c r="E3" s="8">
        <v>17415</v>
      </c>
      <c r="F3" s="8">
        <v>7410</v>
      </c>
      <c r="G3" s="8">
        <v>1400</v>
      </c>
      <c r="H3" s="73">
        <v>0.66</v>
      </c>
      <c r="I3" s="73">
        <v>0.28000000000000003</v>
      </c>
      <c r="J3" s="73">
        <v>0.05</v>
      </c>
      <c r="L3" s="22" t="s">
        <v>210</v>
      </c>
    </row>
    <row r="4" spans="1:12" ht="15.75" thickBot="1" x14ac:dyDescent="0.3">
      <c r="A4" s="93" t="s">
        <v>392</v>
      </c>
      <c r="B4" s="8">
        <v>20290</v>
      </c>
      <c r="C4" s="73">
        <v>0.17</v>
      </c>
      <c r="D4" s="8">
        <v>19735</v>
      </c>
      <c r="E4" s="8">
        <v>14555</v>
      </c>
      <c r="F4" s="8">
        <v>4720</v>
      </c>
      <c r="G4" s="8">
        <v>460</v>
      </c>
      <c r="H4" s="73">
        <v>0.74</v>
      </c>
      <c r="I4" s="73">
        <v>0.24</v>
      </c>
      <c r="J4" s="73">
        <v>0.02</v>
      </c>
      <c r="L4" s="22" t="s">
        <v>211</v>
      </c>
    </row>
    <row r="5" spans="1:12" ht="15.75" thickBot="1" x14ac:dyDescent="0.3">
      <c r="A5" s="93" t="s">
        <v>393</v>
      </c>
      <c r="B5" s="8">
        <v>10500</v>
      </c>
      <c r="C5" s="73">
        <v>0.18</v>
      </c>
      <c r="D5" s="8">
        <v>11545</v>
      </c>
      <c r="E5" s="8">
        <v>8375</v>
      </c>
      <c r="F5" s="8">
        <v>2340</v>
      </c>
      <c r="G5" s="8">
        <v>830</v>
      </c>
      <c r="H5" s="73">
        <v>0.73</v>
      </c>
      <c r="I5" s="73">
        <v>0.2</v>
      </c>
      <c r="J5" s="73">
        <v>7.0000000000000007E-2</v>
      </c>
      <c r="L5" s="22" t="s">
        <v>212</v>
      </c>
    </row>
    <row r="6" spans="1:12" ht="15.75" thickBot="1" x14ac:dyDescent="0.3">
      <c r="A6" s="93" t="s">
        <v>394</v>
      </c>
      <c r="B6" s="8">
        <v>64630</v>
      </c>
      <c r="C6" s="73">
        <v>0.2</v>
      </c>
      <c r="D6" s="8">
        <v>62790</v>
      </c>
      <c r="E6" s="8">
        <v>43520</v>
      </c>
      <c r="F6" s="8">
        <v>16475</v>
      </c>
      <c r="G6" s="8">
        <v>2795</v>
      </c>
      <c r="H6" s="73">
        <v>0.69</v>
      </c>
      <c r="I6" s="73">
        <v>0.26</v>
      </c>
      <c r="J6" s="73">
        <v>0.04</v>
      </c>
      <c r="L6" s="22" t="s">
        <v>222</v>
      </c>
    </row>
    <row r="7" spans="1:12" ht="15.75" thickBot="1" x14ac:dyDescent="0.3">
      <c r="A7" s="93" t="s">
        <v>395</v>
      </c>
      <c r="B7" s="8">
        <v>6120</v>
      </c>
      <c r="C7" s="73">
        <v>0.31</v>
      </c>
      <c r="D7" s="8">
        <v>5665</v>
      </c>
      <c r="E7" s="8">
        <v>3650</v>
      </c>
      <c r="F7" s="8">
        <v>1925</v>
      </c>
      <c r="G7" s="8">
        <v>90</v>
      </c>
      <c r="H7" s="73">
        <v>0.64</v>
      </c>
      <c r="I7" s="73">
        <v>0.34</v>
      </c>
      <c r="J7" s="73">
        <v>0.02</v>
      </c>
    </row>
    <row r="8" spans="1:12" ht="15.75" thickBot="1" x14ac:dyDescent="0.3">
      <c r="A8" s="93" t="s">
        <v>396</v>
      </c>
      <c r="B8" s="8">
        <v>37680</v>
      </c>
      <c r="C8" s="73">
        <v>0.28999999999999998</v>
      </c>
      <c r="D8" s="8">
        <v>35645</v>
      </c>
      <c r="E8" s="8">
        <v>23660</v>
      </c>
      <c r="F8" s="8">
        <v>10465</v>
      </c>
      <c r="G8" s="8">
        <v>1520</v>
      </c>
      <c r="H8" s="73">
        <v>0.66</v>
      </c>
      <c r="I8" s="73">
        <v>0.28999999999999998</v>
      </c>
      <c r="J8" s="73">
        <v>0.04</v>
      </c>
    </row>
    <row r="9" spans="1:12" ht="15.75" thickBot="1" x14ac:dyDescent="0.3">
      <c r="A9" s="93" t="s">
        <v>397</v>
      </c>
      <c r="B9" s="8">
        <v>32105</v>
      </c>
      <c r="C9" s="73">
        <v>0.27</v>
      </c>
      <c r="D9" s="8">
        <v>30685</v>
      </c>
      <c r="E9" s="8">
        <v>21495</v>
      </c>
      <c r="F9" s="8">
        <v>8680</v>
      </c>
      <c r="G9" s="8">
        <v>515</v>
      </c>
      <c r="H9" s="73">
        <v>0.7</v>
      </c>
      <c r="I9" s="73">
        <v>0.28000000000000003</v>
      </c>
      <c r="J9" s="73">
        <v>0.02</v>
      </c>
    </row>
    <row r="10" spans="1:12" ht="15.75" thickBot="1" x14ac:dyDescent="0.3">
      <c r="A10" s="93" t="s">
        <v>398</v>
      </c>
      <c r="B10" s="8">
        <v>15880</v>
      </c>
      <c r="C10" s="73">
        <v>0.27</v>
      </c>
      <c r="D10" s="8">
        <v>17475</v>
      </c>
      <c r="E10" s="8">
        <v>12440</v>
      </c>
      <c r="F10" s="8">
        <v>3875</v>
      </c>
      <c r="G10" s="8">
        <v>1160</v>
      </c>
      <c r="H10" s="73">
        <v>0.71</v>
      </c>
      <c r="I10" s="73">
        <v>0.22</v>
      </c>
      <c r="J10" s="73">
        <v>7.0000000000000007E-2</v>
      </c>
    </row>
    <row r="11" spans="1:12" ht="15.75" thickBot="1" x14ac:dyDescent="0.3">
      <c r="A11" s="93" t="s">
        <v>399</v>
      </c>
      <c r="B11" s="8">
        <v>91790</v>
      </c>
      <c r="C11" s="73">
        <v>0.28000000000000003</v>
      </c>
      <c r="D11" s="8">
        <v>89475</v>
      </c>
      <c r="E11" s="8">
        <v>61245</v>
      </c>
      <c r="F11" s="8">
        <v>24945</v>
      </c>
      <c r="G11" s="8">
        <v>3285</v>
      </c>
      <c r="H11" s="73">
        <v>0.68</v>
      </c>
      <c r="I11" s="73">
        <v>0.28000000000000003</v>
      </c>
      <c r="J11" s="73">
        <v>0.04</v>
      </c>
    </row>
    <row r="12" spans="1:12" ht="15.75" thickBot="1" x14ac:dyDescent="0.3">
      <c r="A12" s="93" t="s">
        <v>400</v>
      </c>
      <c r="B12" s="8">
        <v>4575</v>
      </c>
      <c r="C12" s="73">
        <v>0.23</v>
      </c>
      <c r="D12" s="8">
        <v>4245</v>
      </c>
      <c r="E12" s="8">
        <v>2795</v>
      </c>
      <c r="F12" s="8">
        <v>1385</v>
      </c>
      <c r="G12" s="8">
        <v>65</v>
      </c>
      <c r="H12" s="73">
        <v>0.66</v>
      </c>
      <c r="I12" s="73">
        <v>0.33</v>
      </c>
      <c r="J12" s="73">
        <v>0.02</v>
      </c>
    </row>
    <row r="13" spans="1:12" ht="15.75" thickBot="1" x14ac:dyDescent="0.3">
      <c r="A13" s="93" t="s">
        <v>401</v>
      </c>
      <c r="B13" s="8">
        <v>32680</v>
      </c>
      <c r="C13" s="73">
        <v>0.26</v>
      </c>
      <c r="D13" s="8">
        <v>30875</v>
      </c>
      <c r="E13" s="8">
        <v>20405</v>
      </c>
      <c r="F13" s="8">
        <v>9360</v>
      </c>
      <c r="G13" s="8">
        <v>1110</v>
      </c>
      <c r="H13" s="73">
        <v>0.66</v>
      </c>
      <c r="I13" s="73">
        <v>0.3</v>
      </c>
      <c r="J13" s="73">
        <v>0.04</v>
      </c>
    </row>
    <row r="14" spans="1:12" ht="15.75" thickBot="1" x14ac:dyDescent="0.3">
      <c r="A14" s="93" t="s">
        <v>402</v>
      </c>
      <c r="B14" s="8">
        <v>32090</v>
      </c>
      <c r="C14" s="73">
        <v>0.27</v>
      </c>
      <c r="D14" s="8">
        <v>30260</v>
      </c>
      <c r="E14" s="8">
        <v>20240</v>
      </c>
      <c r="F14" s="8">
        <v>9530</v>
      </c>
      <c r="G14" s="8">
        <v>490</v>
      </c>
      <c r="H14" s="73">
        <v>0.67</v>
      </c>
      <c r="I14" s="73">
        <v>0.32</v>
      </c>
      <c r="J14" s="73">
        <v>0.02</v>
      </c>
    </row>
    <row r="15" spans="1:12" ht="15.75" thickBot="1" x14ac:dyDescent="0.3">
      <c r="A15" s="93" t="s">
        <v>403</v>
      </c>
      <c r="B15" s="8">
        <v>15430</v>
      </c>
      <c r="C15" s="73">
        <v>0.27</v>
      </c>
      <c r="D15" s="8">
        <v>17375</v>
      </c>
      <c r="E15" s="8">
        <v>12085</v>
      </c>
      <c r="F15" s="8">
        <v>4250</v>
      </c>
      <c r="G15" s="8">
        <v>1035</v>
      </c>
      <c r="H15" s="73">
        <v>0.7</v>
      </c>
      <c r="I15" s="73">
        <v>0.24</v>
      </c>
      <c r="J15" s="73">
        <v>0.06</v>
      </c>
    </row>
    <row r="16" spans="1:12" ht="15.75" thickBot="1" x14ac:dyDescent="0.3">
      <c r="A16" s="93" t="s">
        <v>404</v>
      </c>
      <c r="B16" s="8">
        <v>84775</v>
      </c>
      <c r="C16" s="73">
        <v>0.26</v>
      </c>
      <c r="D16" s="8">
        <v>82755</v>
      </c>
      <c r="E16" s="8">
        <v>55525</v>
      </c>
      <c r="F16" s="8">
        <v>24530</v>
      </c>
      <c r="G16" s="8">
        <v>2705</v>
      </c>
      <c r="H16" s="73">
        <v>0.67</v>
      </c>
      <c r="I16" s="73">
        <v>0.3</v>
      </c>
      <c r="J16" s="73">
        <v>0.03</v>
      </c>
    </row>
    <row r="17" spans="1:10" ht="15.75" thickBot="1" x14ac:dyDescent="0.3">
      <c r="A17" s="93" t="s">
        <v>405</v>
      </c>
      <c r="B17" s="8">
        <v>2075</v>
      </c>
      <c r="C17" s="73">
        <v>0.11</v>
      </c>
      <c r="D17" s="8">
        <v>1900</v>
      </c>
      <c r="E17" s="8">
        <v>1330</v>
      </c>
      <c r="F17" s="8">
        <v>540</v>
      </c>
      <c r="G17" s="8">
        <v>35</v>
      </c>
      <c r="H17" s="73">
        <v>0.7</v>
      </c>
      <c r="I17" s="73">
        <v>0.28000000000000003</v>
      </c>
      <c r="J17" s="73">
        <v>0.02</v>
      </c>
    </row>
    <row r="18" spans="1:10" ht="15.75" thickBot="1" x14ac:dyDescent="0.3">
      <c r="A18" s="93" t="s">
        <v>406</v>
      </c>
      <c r="B18" s="8">
        <v>19045</v>
      </c>
      <c r="C18" s="73">
        <v>0.15</v>
      </c>
      <c r="D18" s="8">
        <v>18020</v>
      </c>
      <c r="E18" s="8">
        <v>12115</v>
      </c>
      <c r="F18" s="8">
        <v>5325</v>
      </c>
      <c r="G18" s="8">
        <v>580</v>
      </c>
      <c r="H18" s="73">
        <v>0.67</v>
      </c>
      <c r="I18" s="73">
        <v>0.3</v>
      </c>
      <c r="J18" s="73">
        <v>0.03</v>
      </c>
    </row>
    <row r="19" spans="1:10" ht="15.75" thickBot="1" x14ac:dyDescent="0.3">
      <c r="A19" s="93" t="s">
        <v>407</v>
      </c>
      <c r="B19" s="8">
        <v>21000</v>
      </c>
      <c r="C19" s="73">
        <v>0.18</v>
      </c>
      <c r="D19" s="8">
        <v>19650</v>
      </c>
      <c r="E19" s="8">
        <v>12895</v>
      </c>
      <c r="F19" s="8">
        <v>6490</v>
      </c>
      <c r="G19" s="8">
        <v>265</v>
      </c>
      <c r="H19" s="73">
        <v>0.66</v>
      </c>
      <c r="I19" s="73">
        <v>0.33</v>
      </c>
      <c r="J19" s="73">
        <v>0.01</v>
      </c>
    </row>
    <row r="20" spans="1:10" ht="15.75" thickBot="1" x14ac:dyDescent="0.3">
      <c r="A20" s="93" t="s">
        <v>408</v>
      </c>
      <c r="B20" s="8">
        <v>9820</v>
      </c>
      <c r="C20" s="73">
        <v>0.17</v>
      </c>
      <c r="D20" s="8">
        <v>11080</v>
      </c>
      <c r="E20" s="8">
        <v>7575</v>
      </c>
      <c r="F20" s="8">
        <v>2865</v>
      </c>
      <c r="G20" s="8">
        <v>640</v>
      </c>
      <c r="H20" s="73">
        <v>0.68</v>
      </c>
      <c r="I20" s="73">
        <v>0.26</v>
      </c>
      <c r="J20" s="73">
        <v>0.06</v>
      </c>
    </row>
    <row r="21" spans="1:10" ht="15.75" thickBot="1" x14ac:dyDescent="0.3">
      <c r="A21" s="93" t="s">
        <v>409</v>
      </c>
      <c r="B21" s="8">
        <v>51945</v>
      </c>
      <c r="C21" s="73">
        <v>0.16</v>
      </c>
      <c r="D21" s="8">
        <v>50655</v>
      </c>
      <c r="E21" s="8">
        <v>33920</v>
      </c>
      <c r="F21" s="8">
        <v>15220</v>
      </c>
      <c r="G21" s="8">
        <v>1515</v>
      </c>
      <c r="H21" s="73">
        <v>0.67</v>
      </c>
      <c r="I21" s="73">
        <v>0.3</v>
      </c>
      <c r="J21" s="73">
        <v>0.03</v>
      </c>
    </row>
    <row r="22" spans="1:10" ht="15.75" thickBot="1" x14ac:dyDescent="0.3">
      <c r="A22" s="93" t="s">
        <v>410</v>
      </c>
      <c r="B22" s="8">
        <v>480</v>
      </c>
      <c r="C22" s="73">
        <v>0.02</v>
      </c>
      <c r="D22" s="8">
        <v>440</v>
      </c>
      <c r="E22" s="8">
        <v>305</v>
      </c>
      <c r="F22" s="8">
        <v>120</v>
      </c>
      <c r="G22" s="8">
        <v>10</v>
      </c>
      <c r="H22" s="73">
        <v>0.7</v>
      </c>
      <c r="I22" s="73">
        <v>0.28000000000000003</v>
      </c>
      <c r="J22" s="73">
        <v>0.03</v>
      </c>
    </row>
    <row r="23" spans="1:10" ht="15.75" thickBot="1" x14ac:dyDescent="0.3">
      <c r="A23" s="93" t="s">
        <v>411</v>
      </c>
      <c r="B23" s="8">
        <v>7115</v>
      </c>
      <c r="C23" s="73">
        <v>0.06</v>
      </c>
      <c r="D23" s="8">
        <v>6700</v>
      </c>
      <c r="E23" s="8">
        <v>4505</v>
      </c>
      <c r="F23" s="8">
        <v>1965</v>
      </c>
      <c r="G23" s="8">
        <v>230</v>
      </c>
      <c r="H23" s="73">
        <v>0.67</v>
      </c>
      <c r="I23" s="73">
        <v>0.28999999999999998</v>
      </c>
      <c r="J23" s="73">
        <v>0.03</v>
      </c>
    </row>
    <row r="24" spans="1:10" ht="15.75" thickBot="1" x14ac:dyDescent="0.3">
      <c r="A24" s="93" t="s">
        <v>412</v>
      </c>
      <c r="B24" s="8">
        <v>8985</v>
      </c>
      <c r="C24" s="73">
        <v>0.08</v>
      </c>
      <c r="D24" s="8">
        <v>8385</v>
      </c>
      <c r="E24" s="8">
        <v>5405</v>
      </c>
      <c r="F24" s="8">
        <v>2865</v>
      </c>
      <c r="G24" s="8">
        <v>115</v>
      </c>
      <c r="H24" s="73">
        <v>0.64</v>
      </c>
      <c r="I24" s="73">
        <v>0.34</v>
      </c>
      <c r="J24" s="73">
        <v>0.01</v>
      </c>
    </row>
    <row r="25" spans="1:10" ht="15.75" thickBot="1" x14ac:dyDescent="0.3">
      <c r="A25" s="93" t="s">
        <v>413</v>
      </c>
      <c r="B25" s="8">
        <v>4090</v>
      </c>
      <c r="C25" s="73">
        <v>7.0000000000000007E-2</v>
      </c>
      <c r="D25" s="8">
        <v>4645</v>
      </c>
      <c r="E25" s="8">
        <v>3100</v>
      </c>
      <c r="F25" s="8">
        <v>1270</v>
      </c>
      <c r="G25" s="8">
        <v>275</v>
      </c>
      <c r="H25" s="73">
        <v>0.67</v>
      </c>
      <c r="I25" s="73">
        <v>0.27</v>
      </c>
      <c r="J25" s="73">
        <v>0.06</v>
      </c>
    </row>
    <row r="26" spans="1:10" ht="15.75" thickBot="1" x14ac:dyDescent="0.3">
      <c r="A26" s="93" t="s">
        <v>414</v>
      </c>
      <c r="B26" s="8">
        <v>20665</v>
      </c>
      <c r="C26" s="73">
        <v>0.06</v>
      </c>
      <c r="D26" s="8">
        <v>20165</v>
      </c>
      <c r="E26" s="8">
        <v>13315</v>
      </c>
      <c r="F26" s="8">
        <v>6220</v>
      </c>
      <c r="G26" s="8">
        <v>630</v>
      </c>
      <c r="H26" s="73">
        <v>0.66</v>
      </c>
      <c r="I26" s="73">
        <v>0.31</v>
      </c>
      <c r="J26" s="73">
        <v>0.03</v>
      </c>
    </row>
    <row r="27" spans="1:10" ht="15.75" thickBot="1" x14ac:dyDescent="0.3">
      <c r="A27" s="93" t="s">
        <v>415</v>
      </c>
      <c r="B27" s="8">
        <v>70</v>
      </c>
      <c r="C27" s="73">
        <v>0</v>
      </c>
      <c r="D27" s="8">
        <v>65</v>
      </c>
      <c r="E27" s="8">
        <v>50</v>
      </c>
      <c r="F27" s="8">
        <v>15</v>
      </c>
      <c r="G27" s="8" t="s">
        <v>449</v>
      </c>
      <c r="H27" s="73">
        <v>0.77</v>
      </c>
      <c r="I27" s="73" t="s">
        <v>449</v>
      </c>
      <c r="J27" s="73" t="s">
        <v>449</v>
      </c>
    </row>
    <row r="28" spans="1:10" ht="15.75" thickBot="1" x14ac:dyDescent="0.3">
      <c r="A28" s="93" t="s">
        <v>416</v>
      </c>
      <c r="B28" s="8">
        <v>1640</v>
      </c>
      <c r="C28" s="73">
        <v>0.01</v>
      </c>
      <c r="D28" s="8">
        <v>1555</v>
      </c>
      <c r="E28" s="8">
        <v>995</v>
      </c>
      <c r="F28" s="8">
        <v>500</v>
      </c>
      <c r="G28" s="8">
        <v>60</v>
      </c>
      <c r="H28" s="73">
        <v>0.64</v>
      </c>
      <c r="I28" s="73">
        <v>0.32</v>
      </c>
      <c r="J28" s="73">
        <v>0.04</v>
      </c>
    </row>
    <row r="29" spans="1:10" ht="15.75" thickBot="1" x14ac:dyDescent="0.3">
      <c r="A29" s="93" t="s">
        <v>417</v>
      </c>
      <c r="B29" s="8">
        <v>2305</v>
      </c>
      <c r="C29" s="73">
        <v>0.02</v>
      </c>
      <c r="D29" s="8">
        <v>2110</v>
      </c>
      <c r="E29" s="8">
        <v>1325</v>
      </c>
      <c r="F29" s="8">
        <v>765</v>
      </c>
      <c r="G29" s="8">
        <v>20</v>
      </c>
      <c r="H29" s="73">
        <v>0.63</v>
      </c>
      <c r="I29" s="73">
        <v>0.36</v>
      </c>
      <c r="J29" s="73">
        <v>0.01</v>
      </c>
    </row>
    <row r="30" spans="1:10" ht="15.75" thickBot="1" x14ac:dyDescent="0.3">
      <c r="A30" s="93" t="s">
        <v>418</v>
      </c>
      <c r="B30" s="8">
        <v>985</v>
      </c>
      <c r="C30" s="73">
        <v>0.02</v>
      </c>
      <c r="D30" s="8">
        <v>1155</v>
      </c>
      <c r="E30" s="8">
        <v>760</v>
      </c>
      <c r="F30" s="8">
        <v>330</v>
      </c>
      <c r="G30" s="8">
        <v>65</v>
      </c>
      <c r="H30" s="73">
        <v>0.66</v>
      </c>
      <c r="I30" s="73">
        <v>0.28999999999999998</v>
      </c>
      <c r="J30" s="73">
        <v>0.05</v>
      </c>
    </row>
    <row r="31" spans="1:10" ht="15.75" thickBot="1" x14ac:dyDescent="0.3">
      <c r="A31" s="93" t="s">
        <v>419</v>
      </c>
      <c r="B31" s="8">
        <v>5005</v>
      </c>
      <c r="C31" s="73">
        <v>0.02</v>
      </c>
      <c r="D31" s="8">
        <v>4880</v>
      </c>
      <c r="E31" s="8">
        <v>3130</v>
      </c>
      <c r="F31" s="8">
        <v>1605</v>
      </c>
      <c r="G31" s="8">
        <v>145</v>
      </c>
      <c r="H31" s="73">
        <v>0.64</v>
      </c>
      <c r="I31" s="73">
        <v>0.33</v>
      </c>
      <c r="J31" s="73">
        <v>0.03</v>
      </c>
    </row>
    <row r="32" spans="1:10" ht="15.75" thickBot="1" x14ac:dyDescent="0.3">
      <c r="A32" s="93" t="s">
        <v>420</v>
      </c>
      <c r="B32" s="8">
        <v>15</v>
      </c>
      <c r="C32" s="73">
        <v>0</v>
      </c>
      <c r="D32" s="8">
        <v>15</v>
      </c>
      <c r="E32" s="8">
        <v>5</v>
      </c>
      <c r="F32" s="8">
        <v>5</v>
      </c>
      <c r="G32" s="8" t="s">
        <v>449</v>
      </c>
      <c r="H32" s="73">
        <v>0.54</v>
      </c>
      <c r="I32" s="73" t="s">
        <v>449</v>
      </c>
      <c r="J32" s="73" t="s">
        <v>449</v>
      </c>
    </row>
    <row r="33" spans="1:10" ht="15.75" thickBot="1" x14ac:dyDescent="0.3">
      <c r="A33" s="93" t="s">
        <v>421</v>
      </c>
      <c r="B33" s="8">
        <v>410</v>
      </c>
      <c r="C33" s="73">
        <v>0</v>
      </c>
      <c r="D33" s="8">
        <v>385</v>
      </c>
      <c r="E33" s="8">
        <v>240</v>
      </c>
      <c r="F33" s="8">
        <v>120</v>
      </c>
      <c r="G33" s="8">
        <v>20</v>
      </c>
      <c r="H33" s="73">
        <v>0.63</v>
      </c>
      <c r="I33" s="73">
        <v>0.31</v>
      </c>
      <c r="J33" s="73">
        <v>0.06</v>
      </c>
    </row>
    <row r="34" spans="1:10" ht="15.75" thickBot="1" x14ac:dyDescent="0.3">
      <c r="A34" s="93" t="s">
        <v>422</v>
      </c>
      <c r="B34" s="8">
        <v>620</v>
      </c>
      <c r="C34" s="73">
        <v>0.01</v>
      </c>
      <c r="D34" s="8">
        <v>560</v>
      </c>
      <c r="E34" s="8">
        <v>340</v>
      </c>
      <c r="F34" s="8">
        <v>205</v>
      </c>
      <c r="G34" s="8">
        <v>15</v>
      </c>
      <c r="H34" s="73">
        <v>0.61</v>
      </c>
      <c r="I34" s="73">
        <v>0.37</v>
      </c>
      <c r="J34" s="73">
        <v>0.02</v>
      </c>
    </row>
    <row r="35" spans="1:10" ht="15.75" thickBot="1" x14ac:dyDescent="0.3">
      <c r="A35" s="93" t="s">
        <v>423</v>
      </c>
      <c r="B35" s="8">
        <v>250</v>
      </c>
      <c r="C35" s="73">
        <v>0</v>
      </c>
      <c r="D35" s="8">
        <v>295</v>
      </c>
      <c r="E35" s="8">
        <v>185</v>
      </c>
      <c r="F35" s="8">
        <v>100</v>
      </c>
      <c r="G35" s="8">
        <v>10</v>
      </c>
      <c r="H35" s="73">
        <v>0.63</v>
      </c>
      <c r="I35" s="73">
        <v>0.34</v>
      </c>
      <c r="J35" s="73">
        <v>0.03</v>
      </c>
    </row>
    <row r="36" spans="1:10" ht="15.75" thickBot="1" x14ac:dyDescent="0.3">
      <c r="A36" s="93" t="s">
        <v>424</v>
      </c>
      <c r="B36" s="8">
        <v>1295</v>
      </c>
      <c r="C36" s="73">
        <v>0</v>
      </c>
      <c r="D36" s="8">
        <v>1250</v>
      </c>
      <c r="E36" s="8">
        <v>775</v>
      </c>
      <c r="F36" s="8">
        <v>430</v>
      </c>
      <c r="G36" s="8">
        <v>45</v>
      </c>
      <c r="H36" s="73">
        <v>0.62</v>
      </c>
      <c r="I36" s="73">
        <v>0.34</v>
      </c>
      <c r="J36" s="73">
        <v>0.04</v>
      </c>
    </row>
    <row r="37" spans="1:10" ht="15.75" thickBot="1" x14ac:dyDescent="0.3">
      <c r="A37" s="93" t="s">
        <v>425</v>
      </c>
      <c r="B37" s="8">
        <v>5</v>
      </c>
      <c r="C37" s="73">
        <v>0</v>
      </c>
      <c r="D37" s="8">
        <v>5</v>
      </c>
      <c r="E37" s="8">
        <v>5</v>
      </c>
      <c r="F37" s="8" t="s">
        <v>449</v>
      </c>
      <c r="G37" s="8">
        <v>0</v>
      </c>
      <c r="H37" s="73" t="s">
        <v>449</v>
      </c>
      <c r="I37" s="73" t="s">
        <v>449</v>
      </c>
      <c r="J37" s="73">
        <v>0</v>
      </c>
    </row>
    <row r="38" spans="1:10" ht="15.75" thickBot="1" x14ac:dyDescent="0.3">
      <c r="A38" s="93" t="s">
        <v>426</v>
      </c>
      <c r="B38" s="8">
        <v>220</v>
      </c>
      <c r="C38" s="73">
        <v>0</v>
      </c>
      <c r="D38" s="8">
        <v>210</v>
      </c>
      <c r="E38" s="8">
        <v>130</v>
      </c>
      <c r="F38" s="8">
        <v>65</v>
      </c>
      <c r="G38" s="8">
        <v>15</v>
      </c>
      <c r="H38" s="73">
        <v>0.63</v>
      </c>
      <c r="I38" s="73">
        <v>0.31</v>
      </c>
      <c r="J38" s="73">
        <v>0.06</v>
      </c>
    </row>
    <row r="39" spans="1:10" ht="15.75" thickBot="1" x14ac:dyDescent="0.3">
      <c r="A39" s="93" t="s">
        <v>427</v>
      </c>
      <c r="B39" s="8">
        <v>280</v>
      </c>
      <c r="C39" s="73">
        <v>0</v>
      </c>
      <c r="D39" s="8">
        <v>245</v>
      </c>
      <c r="E39" s="8">
        <v>135</v>
      </c>
      <c r="F39" s="8">
        <v>105</v>
      </c>
      <c r="G39" s="8">
        <v>5</v>
      </c>
      <c r="H39" s="73">
        <v>0.56000000000000005</v>
      </c>
      <c r="I39" s="73">
        <v>0.42</v>
      </c>
      <c r="J39" s="73">
        <v>0.02</v>
      </c>
    </row>
    <row r="40" spans="1:10" ht="15.75" thickBot="1" x14ac:dyDescent="0.3">
      <c r="A40" s="93" t="s">
        <v>428</v>
      </c>
      <c r="B40" s="8">
        <v>130</v>
      </c>
      <c r="C40" s="73">
        <v>0</v>
      </c>
      <c r="D40" s="8">
        <v>155</v>
      </c>
      <c r="E40" s="8">
        <v>95</v>
      </c>
      <c r="F40" s="8">
        <v>55</v>
      </c>
      <c r="G40" s="8">
        <v>5</v>
      </c>
      <c r="H40" s="73">
        <v>0.62</v>
      </c>
      <c r="I40" s="73">
        <v>0.35</v>
      </c>
      <c r="J40" s="73">
        <v>0.03</v>
      </c>
    </row>
    <row r="41" spans="1:10" ht="15.75" thickBot="1" x14ac:dyDescent="0.3">
      <c r="A41" s="93" t="s">
        <v>429</v>
      </c>
      <c r="B41" s="8">
        <v>635</v>
      </c>
      <c r="C41" s="73">
        <v>0</v>
      </c>
      <c r="D41" s="8">
        <v>615</v>
      </c>
      <c r="E41" s="8">
        <v>370</v>
      </c>
      <c r="F41" s="8">
        <v>220</v>
      </c>
      <c r="G41" s="8">
        <v>25</v>
      </c>
      <c r="H41" s="73">
        <v>0.6</v>
      </c>
      <c r="I41" s="73">
        <v>0.36</v>
      </c>
      <c r="J41" s="73">
        <v>0.04</v>
      </c>
    </row>
    <row r="42" spans="1:10" ht="15.75" thickBot="1" x14ac:dyDescent="0.3">
      <c r="A42" s="93" t="s">
        <v>430</v>
      </c>
      <c r="B42" s="8" t="s">
        <v>449</v>
      </c>
      <c r="C42" s="73" t="s">
        <v>449</v>
      </c>
      <c r="D42" s="8" t="s">
        <v>449</v>
      </c>
      <c r="E42" s="8">
        <v>0</v>
      </c>
      <c r="F42" s="8" t="s">
        <v>449</v>
      </c>
      <c r="G42" s="8">
        <v>0</v>
      </c>
      <c r="H42" s="73">
        <v>0</v>
      </c>
      <c r="I42" s="73">
        <v>1</v>
      </c>
      <c r="J42" s="73">
        <v>0</v>
      </c>
    </row>
    <row r="43" spans="1:10" ht="15.75" thickBot="1" x14ac:dyDescent="0.3">
      <c r="A43" s="93" t="s">
        <v>431</v>
      </c>
      <c r="B43" s="8">
        <v>115</v>
      </c>
      <c r="C43" s="73">
        <v>0</v>
      </c>
      <c r="D43" s="8">
        <v>110</v>
      </c>
      <c r="E43" s="8">
        <v>65</v>
      </c>
      <c r="F43" s="8">
        <v>30</v>
      </c>
      <c r="G43" s="8">
        <v>10</v>
      </c>
      <c r="H43" s="73">
        <v>0.61</v>
      </c>
      <c r="I43" s="73">
        <v>0.28999999999999998</v>
      </c>
      <c r="J43" s="73">
        <v>0.09</v>
      </c>
    </row>
    <row r="44" spans="1:10" ht="15.75" thickBot="1" x14ac:dyDescent="0.3">
      <c r="A44" s="93" t="s">
        <v>432</v>
      </c>
      <c r="B44" s="8">
        <v>115</v>
      </c>
      <c r="C44" s="73">
        <v>0</v>
      </c>
      <c r="D44" s="8">
        <v>105</v>
      </c>
      <c r="E44" s="8">
        <v>65</v>
      </c>
      <c r="F44" s="8">
        <v>35</v>
      </c>
      <c r="G44" s="8">
        <v>0</v>
      </c>
      <c r="H44" s="73">
        <v>0.64</v>
      </c>
      <c r="I44" s="73">
        <v>0.36</v>
      </c>
      <c r="J44" s="73">
        <v>0</v>
      </c>
    </row>
    <row r="45" spans="1:10" ht="15.75" thickBot="1" x14ac:dyDescent="0.3">
      <c r="A45" s="93" t="s">
        <v>433</v>
      </c>
      <c r="B45" s="8">
        <v>45</v>
      </c>
      <c r="C45" s="73">
        <v>0</v>
      </c>
      <c r="D45" s="8">
        <v>55</v>
      </c>
      <c r="E45" s="8">
        <v>30</v>
      </c>
      <c r="F45" s="8">
        <v>20</v>
      </c>
      <c r="G45" s="8">
        <v>5</v>
      </c>
      <c r="H45" s="73">
        <v>0.54</v>
      </c>
      <c r="I45" s="73">
        <v>0.39</v>
      </c>
      <c r="J45" s="73">
        <v>7.0000000000000007E-2</v>
      </c>
    </row>
    <row r="46" spans="1:10" ht="15.75" thickBot="1" x14ac:dyDescent="0.3">
      <c r="A46" s="93" t="s">
        <v>434</v>
      </c>
      <c r="B46" s="8">
        <v>280</v>
      </c>
      <c r="C46" s="73">
        <v>0</v>
      </c>
      <c r="D46" s="8">
        <v>270</v>
      </c>
      <c r="E46" s="8">
        <v>165</v>
      </c>
      <c r="F46" s="8">
        <v>90</v>
      </c>
      <c r="G46" s="8">
        <v>15</v>
      </c>
      <c r="H46" s="73">
        <v>0.61</v>
      </c>
      <c r="I46" s="73">
        <v>0.34</v>
      </c>
      <c r="J46" s="73">
        <v>0.05</v>
      </c>
    </row>
    <row r="47" spans="1:10" ht="30.75" thickBot="1" x14ac:dyDescent="0.3">
      <c r="A47" s="93" t="s">
        <v>435</v>
      </c>
      <c r="B47" s="8" t="s">
        <v>449</v>
      </c>
      <c r="C47" s="73" t="s">
        <v>449</v>
      </c>
      <c r="D47" s="8" t="s">
        <v>449</v>
      </c>
      <c r="E47" s="8" t="s">
        <v>449</v>
      </c>
      <c r="F47" s="8">
        <v>0</v>
      </c>
      <c r="G47" s="8">
        <v>0</v>
      </c>
      <c r="H47" s="73">
        <v>1</v>
      </c>
      <c r="I47" s="73">
        <v>0</v>
      </c>
      <c r="J47" s="73">
        <v>0</v>
      </c>
    </row>
    <row r="48" spans="1:10" ht="30.75" thickBot="1" x14ac:dyDescent="0.3">
      <c r="A48" s="93" t="s">
        <v>436</v>
      </c>
      <c r="B48" s="8">
        <v>50</v>
      </c>
      <c r="C48" s="73">
        <v>0</v>
      </c>
      <c r="D48" s="8">
        <v>45</v>
      </c>
      <c r="E48" s="8">
        <v>20</v>
      </c>
      <c r="F48" s="8" t="s">
        <v>449</v>
      </c>
      <c r="G48" s="8">
        <v>0</v>
      </c>
      <c r="H48" s="73">
        <v>0.49</v>
      </c>
      <c r="I48" s="73" t="s">
        <v>449</v>
      </c>
      <c r="J48" s="73" t="s">
        <v>449</v>
      </c>
    </row>
    <row r="49" spans="1:10" ht="30.75" thickBot="1" x14ac:dyDescent="0.3">
      <c r="A49" s="93" t="s">
        <v>437</v>
      </c>
      <c r="B49" s="8">
        <v>65</v>
      </c>
      <c r="C49" s="73">
        <v>0</v>
      </c>
      <c r="D49" s="8">
        <v>55</v>
      </c>
      <c r="E49" s="8">
        <v>30</v>
      </c>
      <c r="F49" s="8">
        <v>20</v>
      </c>
      <c r="G49" s="8">
        <v>5</v>
      </c>
      <c r="H49" s="73">
        <v>0.56999999999999995</v>
      </c>
      <c r="I49" s="73">
        <v>0.36</v>
      </c>
      <c r="J49" s="73">
        <v>0.08</v>
      </c>
    </row>
    <row r="50" spans="1:10" ht="30.75" thickBot="1" x14ac:dyDescent="0.3">
      <c r="A50" s="93" t="s">
        <v>438</v>
      </c>
      <c r="B50" s="8">
        <v>25</v>
      </c>
      <c r="C50" s="73">
        <v>0</v>
      </c>
      <c r="D50" s="8">
        <v>35</v>
      </c>
      <c r="E50" s="8">
        <v>15</v>
      </c>
      <c r="F50" s="8">
        <v>20</v>
      </c>
      <c r="G50" s="8" t="s">
        <v>449</v>
      </c>
      <c r="H50" s="73" t="s">
        <v>449</v>
      </c>
      <c r="I50" s="73">
        <v>0.53</v>
      </c>
      <c r="J50" s="73" t="s">
        <v>449</v>
      </c>
    </row>
    <row r="51" spans="1:10" ht="15.75" thickBot="1" x14ac:dyDescent="0.3">
      <c r="A51" s="93" t="s">
        <v>439</v>
      </c>
      <c r="B51" s="8">
        <v>140</v>
      </c>
      <c r="C51" s="73">
        <v>0</v>
      </c>
      <c r="D51" s="8">
        <v>135</v>
      </c>
      <c r="E51" s="8">
        <v>70</v>
      </c>
      <c r="F51" s="8">
        <v>60</v>
      </c>
      <c r="G51" s="8">
        <v>5</v>
      </c>
      <c r="H51" s="73">
        <v>0.51</v>
      </c>
      <c r="I51" s="73">
        <v>0.44</v>
      </c>
      <c r="J51" s="73">
        <v>0.04</v>
      </c>
    </row>
    <row r="52" spans="1:10" ht="15.75" thickBot="1" x14ac:dyDescent="0.3">
      <c r="A52" s="93" t="s">
        <v>197</v>
      </c>
      <c r="B52" s="8">
        <v>19480</v>
      </c>
      <c r="C52" s="73">
        <v>1</v>
      </c>
      <c r="D52" s="8">
        <v>17935</v>
      </c>
      <c r="E52" s="8">
        <v>11505</v>
      </c>
      <c r="F52" s="8">
        <v>6080</v>
      </c>
      <c r="G52" s="8">
        <v>350</v>
      </c>
      <c r="H52" s="73">
        <v>0.64</v>
      </c>
      <c r="I52" s="73">
        <v>0.34</v>
      </c>
      <c r="J52" s="73">
        <v>0.02</v>
      </c>
    </row>
    <row r="53" spans="1:10" ht="15.75" thickBot="1" x14ac:dyDescent="0.3">
      <c r="A53" s="93" t="s">
        <v>198</v>
      </c>
      <c r="B53" s="8">
        <v>128070</v>
      </c>
      <c r="C53" s="73">
        <v>1</v>
      </c>
      <c r="D53" s="8">
        <v>120680</v>
      </c>
      <c r="E53" s="8">
        <v>80100</v>
      </c>
      <c r="F53" s="8">
        <v>35375</v>
      </c>
      <c r="G53" s="8">
        <v>5210</v>
      </c>
      <c r="H53" s="73">
        <v>0.66</v>
      </c>
      <c r="I53" s="73">
        <v>0.28999999999999998</v>
      </c>
      <c r="J53" s="73">
        <v>0.04</v>
      </c>
    </row>
    <row r="54" spans="1:10" ht="15.75" thickBot="1" x14ac:dyDescent="0.3">
      <c r="A54" s="93" t="s">
        <v>199</v>
      </c>
      <c r="B54" s="8">
        <v>118600</v>
      </c>
      <c r="C54" s="73">
        <v>1</v>
      </c>
      <c r="D54" s="8">
        <v>112435</v>
      </c>
      <c r="E54" s="8">
        <v>76960</v>
      </c>
      <c r="F54" s="8">
        <v>33480</v>
      </c>
      <c r="G54" s="8">
        <v>1995</v>
      </c>
      <c r="H54" s="73">
        <v>0.68</v>
      </c>
      <c r="I54" s="73">
        <v>0.3</v>
      </c>
      <c r="J54" s="73">
        <v>0.02</v>
      </c>
    </row>
    <row r="55" spans="1:10" ht="15.75" thickBot="1" x14ac:dyDescent="0.3">
      <c r="A55" s="93" t="s">
        <v>200</v>
      </c>
      <c r="B55" s="8">
        <v>57760</v>
      </c>
      <c r="C55" s="73">
        <v>1</v>
      </c>
      <c r="D55" s="8">
        <v>64295</v>
      </c>
      <c r="E55" s="8">
        <v>45025</v>
      </c>
      <c r="F55" s="8">
        <v>15160</v>
      </c>
      <c r="G55" s="8">
        <v>4105</v>
      </c>
      <c r="H55" s="73">
        <v>0.7</v>
      </c>
      <c r="I55" s="73">
        <v>0.24</v>
      </c>
      <c r="J55" s="73">
        <v>0.06</v>
      </c>
    </row>
    <row r="56" spans="1:10" ht="15.75" thickBot="1" x14ac:dyDescent="0.3">
      <c r="A56" s="93" t="s">
        <v>254</v>
      </c>
      <c r="B56" s="8">
        <v>323915</v>
      </c>
      <c r="C56" s="73">
        <v>1</v>
      </c>
      <c r="D56" s="8">
        <v>315340</v>
      </c>
      <c r="E56" s="8">
        <v>213585</v>
      </c>
      <c r="F56" s="8">
        <v>90095</v>
      </c>
      <c r="G56" s="8">
        <v>11660</v>
      </c>
      <c r="H56" s="73">
        <v>0.68</v>
      </c>
      <c r="I56" s="73">
        <v>0.28999999999999998</v>
      </c>
      <c r="J56" s="73">
        <v>0.04</v>
      </c>
    </row>
    <row r="57" spans="1:10" ht="15.75" thickBot="1" x14ac:dyDescent="0.3">
      <c r="A57" s="93" t="s">
        <v>440</v>
      </c>
      <c r="B57" s="8">
        <v>305</v>
      </c>
      <c r="C57" s="73">
        <v>0.02</v>
      </c>
      <c r="D57" s="8">
        <v>275</v>
      </c>
      <c r="E57" s="8">
        <v>190</v>
      </c>
      <c r="F57" s="8">
        <v>80</v>
      </c>
      <c r="G57" s="8">
        <v>5</v>
      </c>
      <c r="H57" s="73">
        <v>0.69</v>
      </c>
      <c r="I57" s="73">
        <v>0.28999999999999998</v>
      </c>
      <c r="J57" s="73">
        <v>0.02</v>
      </c>
    </row>
    <row r="58" spans="1:10" ht="15.75" thickBot="1" x14ac:dyDescent="0.3">
      <c r="A58" s="93" t="s">
        <v>441</v>
      </c>
      <c r="B58" s="8">
        <v>780</v>
      </c>
      <c r="C58" s="73">
        <v>0.01</v>
      </c>
      <c r="D58" s="8">
        <v>705</v>
      </c>
      <c r="E58" s="8">
        <v>540</v>
      </c>
      <c r="F58" s="8">
        <v>80</v>
      </c>
      <c r="G58" s="8">
        <v>80</v>
      </c>
      <c r="H58" s="73">
        <v>0.77</v>
      </c>
      <c r="I58" s="73">
        <v>0.12</v>
      </c>
      <c r="J58" s="73">
        <v>0.12</v>
      </c>
    </row>
    <row r="59" spans="1:10" ht="15.75" thickBot="1" x14ac:dyDescent="0.3">
      <c r="A59" s="93" t="s">
        <v>442</v>
      </c>
      <c r="B59" s="8">
        <v>560</v>
      </c>
      <c r="C59" s="73">
        <v>0</v>
      </c>
      <c r="D59" s="8">
        <v>545</v>
      </c>
      <c r="E59" s="8">
        <v>470</v>
      </c>
      <c r="F59" s="8">
        <v>55</v>
      </c>
      <c r="G59" s="8">
        <v>20</v>
      </c>
      <c r="H59" s="73">
        <v>0.86</v>
      </c>
      <c r="I59" s="73">
        <v>0.1</v>
      </c>
      <c r="J59" s="73">
        <v>0.04</v>
      </c>
    </row>
    <row r="60" spans="1:10" ht="15.75" thickBot="1" x14ac:dyDescent="0.3">
      <c r="A60" s="93" t="s">
        <v>443</v>
      </c>
      <c r="B60" s="8">
        <v>375</v>
      </c>
      <c r="C60" s="73">
        <v>0.01</v>
      </c>
      <c r="D60" s="8">
        <v>405</v>
      </c>
      <c r="E60" s="8">
        <v>360</v>
      </c>
      <c r="F60" s="8">
        <v>30</v>
      </c>
      <c r="G60" s="8">
        <v>20</v>
      </c>
      <c r="H60" s="73">
        <v>0.88</v>
      </c>
      <c r="I60" s="73">
        <v>7.0000000000000007E-2</v>
      </c>
      <c r="J60" s="73">
        <v>0.05</v>
      </c>
    </row>
    <row r="61" spans="1:10" ht="15.75" thickBot="1" x14ac:dyDescent="0.3">
      <c r="A61" s="93" t="s">
        <v>444</v>
      </c>
      <c r="B61" s="8">
        <v>2020</v>
      </c>
      <c r="C61" s="73">
        <v>0.01</v>
      </c>
      <c r="D61" s="8">
        <v>1930</v>
      </c>
      <c r="E61" s="8">
        <v>1560</v>
      </c>
      <c r="F61" s="8">
        <v>245</v>
      </c>
      <c r="G61" s="8">
        <v>125</v>
      </c>
      <c r="H61" s="73">
        <v>0.81</v>
      </c>
      <c r="I61" s="73">
        <v>0.13</v>
      </c>
      <c r="J61" s="73">
        <v>7.0000000000000007E-2</v>
      </c>
    </row>
    <row r="62" spans="1:10" ht="15.75" thickBot="1" x14ac:dyDescent="0.3">
      <c r="A62" s="93" t="s">
        <v>380</v>
      </c>
      <c r="B62" s="8">
        <v>50</v>
      </c>
      <c r="C62" s="73">
        <v>0</v>
      </c>
      <c r="D62" s="8">
        <v>40</v>
      </c>
      <c r="E62" s="8">
        <v>0</v>
      </c>
      <c r="F62" s="8">
        <v>5</v>
      </c>
      <c r="G62" s="8">
        <v>35</v>
      </c>
      <c r="H62" s="73">
        <v>0</v>
      </c>
      <c r="I62" s="73">
        <v>0.15</v>
      </c>
      <c r="J62" s="73">
        <v>0.85</v>
      </c>
    </row>
    <row r="63" spans="1:10" ht="15.75" thickBot="1" x14ac:dyDescent="0.3">
      <c r="A63" s="93" t="s">
        <v>381</v>
      </c>
      <c r="B63" s="8">
        <v>260</v>
      </c>
      <c r="C63" s="73">
        <v>0</v>
      </c>
      <c r="D63" s="8">
        <v>215</v>
      </c>
      <c r="E63" s="8">
        <v>0</v>
      </c>
      <c r="F63" s="8">
        <v>35</v>
      </c>
      <c r="G63" s="8">
        <v>180</v>
      </c>
      <c r="H63" s="73">
        <v>0</v>
      </c>
      <c r="I63" s="73">
        <v>0.16</v>
      </c>
      <c r="J63" s="73">
        <v>0.84</v>
      </c>
    </row>
    <row r="64" spans="1:10" ht="15.75" thickBot="1" x14ac:dyDescent="0.3">
      <c r="A64" s="93" t="s">
        <v>382</v>
      </c>
      <c r="B64" s="8">
        <v>195</v>
      </c>
      <c r="C64" s="73">
        <v>0</v>
      </c>
      <c r="D64" s="8">
        <v>100</v>
      </c>
      <c r="E64" s="8">
        <v>0</v>
      </c>
      <c r="F64" s="8">
        <v>10</v>
      </c>
      <c r="G64" s="8">
        <v>90</v>
      </c>
      <c r="H64" s="73">
        <v>0</v>
      </c>
      <c r="I64" s="73">
        <v>0.1</v>
      </c>
      <c r="J64" s="73">
        <v>0.9</v>
      </c>
    </row>
    <row r="65" spans="1:10" ht="15.75" thickBot="1" x14ac:dyDescent="0.3">
      <c r="A65" s="93" t="s">
        <v>383</v>
      </c>
      <c r="B65" s="8">
        <v>225</v>
      </c>
      <c r="C65" s="73">
        <v>0</v>
      </c>
      <c r="D65" s="8">
        <v>65</v>
      </c>
      <c r="E65" s="8">
        <v>0</v>
      </c>
      <c r="F65" s="8" t="s">
        <v>449</v>
      </c>
      <c r="G65" s="8">
        <v>65</v>
      </c>
      <c r="H65" s="73">
        <v>0</v>
      </c>
      <c r="I65" s="73" t="s">
        <v>449</v>
      </c>
      <c r="J65" s="73" t="s">
        <v>449</v>
      </c>
    </row>
    <row r="66" spans="1:10" x14ac:dyDescent="0.25">
      <c r="A66" s="94" t="s">
        <v>384</v>
      </c>
      <c r="B66" s="8">
        <v>735</v>
      </c>
      <c r="C66" s="73">
        <v>0</v>
      </c>
      <c r="D66" s="8">
        <v>420</v>
      </c>
      <c r="E66" s="8">
        <v>0</v>
      </c>
      <c r="F66" s="8">
        <v>50</v>
      </c>
      <c r="G66" s="8">
        <v>370</v>
      </c>
      <c r="H66" s="73">
        <v>0</v>
      </c>
      <c r="I66" s="73">
        <v>0.12</v>
      </c>
      <c r="J66" s="73">
        <v>0.88</v>
      </c>
    </row>
  </sheetData>
  <sheetProtection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81"/>
  <sheetViews>
    <sheetView zoomScale="75" zoomScaleNormal="75" workbookViewId="0"/>
  </sheetViews>
  <sheetFormatPr defaultRowHeight="15" x14ac:dyDescent="0.25"/>
  <cols>
    <col min="1" max="1" width="45" customWidth="1"/>
    <col min="2" max="10" width="14.140625" customWidth="1"/>
    <col min="12" max="12" width="11.42578125" customWidth="1"/>
  </cols>
  <sheetData>
    <row r="1" spans="1:12" ht="63" x14ac:dyDescent="0.25">
      <c r="A1" s="71" t="s">
        <v>72</v>
      </c>
      <c r="B1" s="71" t="s">
        <v>51</v>
      </c>
      <c r="C1" s="71" t="s">
        <v>50</v>
      </c>
      <c r="D1" s="71" t="s">
        <v>60</v>
      </c>
      <c r="E1" s="71" t="s">
        <v>63</v>
      </c>
      <c r="F1" s="71" t="s">
        <v>452</v>
      </c>
      <c r="G1" s="71" t="s">
        <v>71</v>
      </c>
      <c r="H1" s="71" t="s">
        <v>47</v>
      </c>
      <c r="I1" s="71" t="s">
        <v>48</v>
      </c>
      <c r="J1" s="72" t="s">
        <v>49</v>
      </c>
      <c r="L1" s="72" t="s">
        <v>213</v>
      </c>
    </row>
    <row r="2" spans="1:12" x14ac:dyDescent="0.25">
      <c r="A2" s="67" t="s">
        <v>73</v>
      </c>
      <c r="B2" s="74">
        <v>610</v>
      </c>
      <c r="C2" s="73">
        <v>0.03</v>
      </c>
      <c r="D2" s="74">
        <v>540</v>
      </c>
      <c r="E2" s="74">
        <v>350</v>
      </c>
      <c r="F2" s="74">
        <v>185</v>
      </c>
      <c r="G2" s="74">
        <v>5</v>
      </c>
      <c r="H2" s="73">
        <v>0.65</v>
      </c>
      <c r="I2" s="73">
        <v>0.34</v>
      </c>
      <c r="J2" s="73">
        <v>0.01</v>
      </c>
      <c r="L2" s="22" t="s">
        <v>209</v>
      </c>
    </row>
    <row r="3" spans="1:12" x14ac:dyDescent="0.25">
      <c r="A3" s="67" t="s">
        <v>74</v>
      </c>
      <c r="B3" s="74">
        <v>3485</v>
      </c>
      <c r="C3" s="73">
        <v>0.03</v>
      </c>
      <c r="D3" s="74">
        <v>3275</v>
      </c>
      <c r="E3" s="74">
        <v>2280</v>
      </c>
      <c r="F3" s="74">
        <v>845</v>
      </c>
      <c r="G3" s="74">
        <v>150</v>
      </c>
      <c r="H3" s="73">
        <v>0.7</v>
      </c>
      <c r="I3" s="73">
        <v>0.26</v>
      </c>
      <c r="J3" s="73">
        <v>0.05</v>
      </c>
      <c r="L3" t="s">
        <v>210</v>
      </c>
    </row>
    <row r="4" spans="1:12" x14ac:dyDescent="0.25">
      <c r="A4" s="67" t="s">
        <v>75</v>
      </c>
      <c r="B4" s="74">
        <v>3860</v>
      </c>
      <c r="C4" s="73">
        <v>0.03</v>
      </c>
      <c r="D4" s="74">
        <v>3575</v>
      </c>
      <c r="E4" s="74">
        <v>2500</v>
      </c>
      <c r="F4" s="74">
        <v>1005</v>
      </c>
      <c r="G4" s="74">
        <v>75</v>
      </c>
      <c r="H4" s="73">
        <v>0.7</v>
      </c>
      <c r="I4" s="73">
        <v>0.28000000000000003</v>
      </c>
      <c r="J4" s="73">
        <v>0.02</v>
      </c>
      <c r="L4" t="s">
        <v>211</v>
      </c>
    </row>
    <row r="5" spans="1:12" x14ac:dyDescent="0.25">
      <c r="A5" s="67" t="s">
        <v>76</v>
      </c>
      <c r="B5" s="74">
        <v>1935</v>
      </c>
      <c r="C5" s="73">
        <v>0.03</v>
      </c>
      <c r="D5" s="74">
        <v>2225</v>
      </c>
      <c r="E5" s="74">
        <v>1505</v>
      </c>
      <c r="F5" s="74">
        <v>585</v>
      </c>
      <c r="G5" s="74">
        <v>130</v>
      </c>
      <c r="H5" s="73">
        <v>0.68</v>
      </c>
      <c r="I5" s="73">
        <v>0.26</v>
      </c>
      <c r="J5" s="73">
        <v>0.06</v>
      </c>
      <c r="L5" t="s">
        <v>212</v>
      </c>
    </row>
    <row r="6" spans="1:12" x14ac:dyDescent="0.25">
      <c r="A6" s="67" t="s">
        <v>223</v>
      </c>
      <c r="B6" s="74">
        <v>9890</v>
      </c>
      <c r="C6" s="73">
        <v>0.03</v>
      </c>
      <c r="D6" s="74">
        <v>9615</v>
      </c>
      <c r="E6" s="74">
        <v>6635</v>
      </c>
      <c r="F6" s="74">
        <v>2620</v>
      </c>
      <c r="G6" s="74">
        <v>360</v>
      </c>
      <c r="H6" s="73">
        <v>0.69</v>
      </c>
      <c r="I6" s="73">
        <v>0.27</v>
      </c>
      <c r="J6" s="73">
        <v>0.04</v>
      </c>
      <c r="L6" t="s">
        <v>222</v>
      </c>
    </row>
    <row r="7" spans="1:12" x14ac:dyDescent="0.25">
      <c r="A7" s="67" t="s">
        <v>77</v>
      </c>
      <c r="B7" s="74">
        <v>530</v>
      </c>
      <c r="C7" s="73">
        <v>0.03</v>
      </c>
      <c r="D7" s="74">
        <v>485</v>
      </c>
      <c r="E7" s="74">
        <v>280</v>
      </c>
      <c r="F7" s="74">
        <v>195</v>
      </c>
      <c r="G7" s="74">
        <v>10</v>
      </c>
      <c r="H7" s="73">
        <v>0.56999999999999995</v>
      </c>
      <c r="I7" s="73">
        <v>0.41</v>
      </c>
      <c r="J7" s="73">
        <v>0.02</v>
      </c>
    </row>
    <row r="8" spans="1:12" x14ac:dyDescent="0.25">
      <c r="A8" s="67" t="s">
        <v>78</v>
      </c>
      <c r="B8" s="74">
        <v>2755</v>
      </c>
      <c r="C8" s="73">
        <v>0.02</v>
      </c>
      <c r="D8" s="74">
        <v>2585</v>
      </c>
      <c r="E8" s="74">
        <v>1825</v>
      </c>
      <c r="F8" s="74">
        <v>660</v>
      </c>
      <c r="G8" s="74">
        <v>100</v>
      </c>
      <c r="H8" s="73">
        <v>0.71</v>
      </c>
      <c r="I8" s="73">
        <v>0.26</v>
      </c>
      <c r="J8" s="73">
        <v>0.04</v>
      </c>
    </row>
    <row r="9" spans="1:12" x14ac:dyDescent="0.25">
      <c r="A9" s="67" t="s">
        <v>79</v>
      </c>
      <c r="B9" s="74">
        <v>3380</v>
      </c>
      <c r="C9" s="73">
        <v>0.03</v>
      </c>
      <c r="D9" s="74">
        <v>3135</v>
      </c>
      <c r="E9" s="74">
        <v>2090</v>
      </c>
      <c r="F9" s="74">
        <v>995</v>
      </c>
      <c r="G9" s="74">
        <v>50</v>
      </c>
      <c r="H9" s="73">
        <v>0.67</v>
      </c>
      <c r="I9" s="73">
        <v>0.32</v>
      </c>
      <c r="J9" s="73">
        <v>0.02</v>
      </c>
    </row>
    <row r="10" spans="1:12" x14ac:dyDescent="0.25">
      <c r="A10" s="67" t="s">
        <v>80</v>
      </c>
      <c r="B10" s="74">
        <v>1605</v>
      </c>
      <c r="C10" s="73">
        <v>0.03</v>
      </c>
      <c r="D10" s="74">
        <v>1810</v>
      </c>
      <c r="E10" s="74">
        <v>1200</v>
      </c>
      <c r="F10" s="74">
        <v>495</v>
      </c>
      <c r="G10" s="74">
        <v>115</v>
      </c>
      <c r="H10" s="73">
        <v>0.66</v>
      </c>
      <c r="I10" s="73">
        <v>0.27</v>
      </c>
      <c r="J10" s="73">
        <v>0.06</v>
      </c>
    </row>
    <row r="11" spans="1:12" x14ac:dyDescent="0.25">
      <c r="A11" s="67" t="s">
        <v>224</v>
      </c>
      <c r="B11" s="74">
        <v>8265</v>
      </c>
      <c r="C11" s="73">
        <v>0.03</v>
      </c>
      <c r="D11" s="74">
        <v>8020</v>
      </c>
      <c r="E11" s="74">
        <v>5395</v>
      </c>
      <c r="F11" s="74">
        <v>2345</v>
      </c>
      <c r="G11" s="74">
        <v>275</v>
      </c>
      <c r="H11" s="73">
        <v>0.67</v>
      </c>
      <c r="I11" s="73">
        <v>0.28999999999999998</v>
      </c>
      <c r="J11" s="73">
        <v>0.03</v>
      </c>
    </row>
    <row r="12" spans="1:12" x14ac:dyDescent="0.25">
      <c r="A12" s="67" t="s">
        <v>81</v>
      </c>
      <c r="B12" s="74">
        <v>335</v>
      </c>
      <c r="C12" s="73">
        <v>0.02</v>
      </c>
      <c r="D12" s="74">
        <v>310</v>
      </c>
      <c r="E12" s="74">
        <v>220</v>
      </c>
      <c r="F12" s="74">
        <v>85</v>
      </c>
      <c r="G12" s="74">
        <v>5</v>
      </c>
      <c r="H12" s="73">
        <v>0.71</v>
      </c>
      <c r="I12" s="73">
        <v>0.28000000000000003</v>
      </c>
      <c r="J12" s="73">
        <v>0.02</v>
      </c>
    </row>
    <row r="13" spans="1:12" x14ac:dyDescent="0.25">
      <c r="A13" s="67" t="s">
        <v>82</v>
      </c>
      <c r="B13" s="74">
        <v>2330</v>
      </c>
      <c r="C13" s="73">
        <v>0.02</v>
      </c>
      <c r="D13" s="74">
        <v>2180</v>
      </c>
      <c r="E13" s="74">
        <v>1570</v>
      </c>
      <c r="F13" s="74">
        <v>525</v>
      </c>
      <c r="G13" s="74">
        <v>85</v>
      </c>
      <c r="H13" s="73">
        <v>0.72</v>
      </c>
      <c r="I13" s="73">
        <v>0.24</v>
      </c>
      <c r="J13" s="73">
        <v>0.04</v>
      </c>
    </row>
    <row r="14" spans="1:12" x14ac:dyDescent="0.25">
      <c r="A14" s="67" t="s">
        <v>83</v>
      </c>
      <c r="B14" s="74">
        <v>2250</v>
      </c>
      <c r="C14" s="73">
        <v>0.02</v>
      </c>
      <c r="D14" s="74">
        <v>2115</v>
      </c>
      <c r="E14" s="74">
        <v>1505</v>
      </c>
      <c r="F14" s="74">
        <v>580</v>
      </c>
      <c r="G14" s="74">
        <v>30</v>
      </c>
      <c r="H14" s="73">
        <v>0.71</v>
      </c>
      <c r="I14" s="73">
        <v>0.28000000000000003</v>
      </c>
      <c r="J14" s="73">
        <v>0.01</v>
      </c>
    </row>
    <row r="15" spans="1:12" x14ac:dyDescent="0.25">
      <c r="A15" s="67" t="s">
        <v>84</v>
      </c>
      <c r="B15" s="74">
        <v>1045</v>
      </c>
      <c r="C15" s="73">
        <v>0.02</v>
      </c>
      <c r="D15" s="74">
        <v>1215</v>
      </c>
      <c r="E15" s="74">
        <v>860</v>
      </c>
      <c r="F15" s="74">
        <v>280</v>
      </c>
      <c r="G15" s="74">
        <v>75</v>
      </c>
      <c r="H15" s="73">
        <v>0.71</v>
      </c>
      <c r="I15" s="73">
        <v>0.23</v>
      </c>
      <c r="J15" s="73">
        <v>0.06</v>
      </c>
    </row>
    <row r="16" spans="1:12" x14ac:dyDescent="0.25">
      <c r="A16" s="67" t="s">
        <v>225</v>
      </c>
      <c r="B16" s="74">
        <v>5960</v>
      </c>
      <c r="C16" s="73">
        <v>0.02</v>
      </c>
      <c r="D16" s="74">
        <v>5825</v>
      </c>
      <c r="E16" s="74">
        <v>4155</v>
      </c>
      <c r="F16" s="74">
        <v>1475</v>
      </c>
      <c r="G16" s="74">
        <v>200</v>
      </c>
      <c r="H16" s="73">
        <v>0.71</v>
      </c>
      <c r="I16" s="73">
        <v>0.25</v>
      </c>
      <c r="J16" s="73">
        <v>0.03</v>
      </c>
    </row>
    <row r="17" spans="1:10" x14ac:dyDescent="0.25">
      <c r="A17" s="67" t="s">
        <v>85</v>
      </c>
      <c r="B17" s="74">
        <v>255</v>
      </c>
      <c r="C17" s="73">
        <v>0.01</v>
      </c>
      <c r="D17" s="74">
        <v>235</v>
      </c>
      <c r="E17" s="74">
        <v>155</v>
      </c>
      <c r="F17" s="74">
        <v>70</v>
      </c>
      <c r="G17" s="74">
        <v>5</v>
      </c>
      <c r="H17" s="73">
        <v>0.67</v>
      </c>
      <c r="I17" s="73">
        <v>0.31</v>
      </c>
      <c r="J17" s="73">
        <v>0.02</v>
      </c>
    </row>
    <row r="18" spans="1:10" x14ac:dyDescent="0.25">
      <c r="A18" s="67" t="s">
        <v>86</v>
      </c>
      <c r="B18" s="74">
        <v>1315</v>
      </c>
      <c r="C18" s="73">
        <v>0.01</v>
      </c>
      <c r="D18" s="74">
        <v>1240</v>
      </c>
      <c r="E18" s="74">
        <v>855</v>
      </c>
      <c r="F18" s="74">
        <v>330</v>
      </c>
      <c r="G18" s="74">
        <v>55</v>
      </c>
      <c r="H18" s="73">
        <v>0.69</v>
      </c>
      <c r="I18" s="73">
        <v>0.26</v>
      </c>
      <c r="J18" s="73">
        <v>0.04</v>
      </c>
    </row>
    <row r="19" spans="1:10" x14ac:dyDescent="0.25">
      <c r="A19" s="67" t="s">
        <v>87</v>
      </c>
      <c r="B19" s="74">
        <v>1400</v>
      </c>
      <c r="C19" s="73">
        <v>0.01</v>
      </c>
      <c r="D19" s="74">
        <v>1335</v>
      </c>
      <c r="E19" s="74">
        <v>935</v>
      </c>
      <c r="F19" s="74">
        <v>380</v>
      </c>
      <c r="G19" s="74">
        <v>20</v>
      </c>
      <c r="H19" s="73">
        <v>0.7</v>
      </c>
      <c r="I19" s="73">
        <v>0.28999999999999998</v>
      </c>
      <c r="J19" s="73">
        <v>0.01</v>
      </c>
    </row>
    <row r="20" spans="1:10" x14ac:dyDescent="0.25">
      <c r="A20" s="67" t="s">
        <v>88</v>
      </c>
      <c r="B20" s="74">
        <v>600</v>
      </c>
      <c r="C20" s="73">
        <v>0.01</v>
      </c>
      <c r="D20" s="74">
        <v>680</v>
      </c>
      <c r="E20" s="74">
        <v>475</v>
      </c>
      <c r="F20" s="74">
        <v>175</v>
      </c>
      <c r="G20" s="74">
        <v>30</v>
      </c>
      <c r="H20" s="73">
        <v>0.7</v>
      </c>
      <c r="I20" s="73">
        <v>0.26</v>
      </c>
      <c r="J20" s="73">
        <v>0.04</v>
      </c>
    </row>
    <row r="21" spans="1:10" x14ac:dyDescent="0.25">
      <c r="A21" s="67" t="s">
        <v>226</v>
      </c>
      <c r="B21" s="74">
        <v>3565</v>
      </c>
      <c r="C21" s="73">
        <v>0.01</v>
      </c>
      <c r="D21" s="74">
        <v>3490</v>
      </c>
      <c r="E21" s="74">
        <v>2420</v>
      </c>
      <c r="F21" s="74">
        <v>960</v>
      </c>
      <c r="G21" s="74">
        <v>110</v>
      </c>
      <c r="H21" s="73">
        <v>0.69</v>
      </c>
      <c r="I21" s="73">
        <v>0.27</v>
      </c>
      <c r="J21" s="73">
        <v>0.03</v>
      </c>
    </row>
    <row r="22" spans="1:10" x14ac:dyDescent="0.25">
      <c r="A22" s="67" t="s">
        <v>89</v>
      </c>
      <c r="B22" s="74">
        <v>160</v>
      </c>
      <c r="C22" s="73">
        <v>0.01</v>
      </c>
      <c r="D22" s="74">
        <v>150</v>
      </c>
      <c r="E22" s="74">
        <v>110</v>
      </c>
      <c r="F22" s="74">
        <v>35</v>
      </c>
      <c r="G22" s="74">
        <v>5</v>
      </c>
      <c r="H22" s="73">
        <v>0.74</v>
      </c>
      <c r="I22" s="73">
        <v>0.24</v>
      </c>
      <c r="J22" s="73">
        <v>0.02</v>
      </c>
    </row>
    <row r="23" spans="1:10" x14ac:dyDescent="0.25">
      <c r="A23" s="67" t="s">
        <v>90</v>
      </c>
      <c r="B23" s="74">
        <v>1385</v>
      </c>
      <c r="C23" s="73">
        <v>0.01</v>
      </c>
      <c r="D23" s="74">
        <v>1305</v>
      </c>
      <c r="E23" s="74">
        <v>935</v>
      </c>
      <c r="F23" s="74">
        <v>310</v>
      </c>
      <c r="G23" s="74">
        <v>60</v>
      </c>
      <c r="H23" s="73">
        <v>0.72</v>
      </c>
      <c r="I23" s="73">
        <v>0.24</v>
      </c>
      <c r="J23" s="73">
        <v>0.04</v>
      </c>
    </row>
    <row r="24" spans="1:10" x14ac:dyDescent="0.25">
      <c r="A24" s="67" t="s">
        <v>91</v>
      </c>
      <c r="B24" s="74">
        <v>1330</v>
      </c>
      <c r="C24" s="73">
        <v>0.01</v>
      </c>
      <c r="D24" s="74">
        <v>1280</v>
      </c>
      <c r="E24" s="74">
        <v>900</v>
      </c>
      <c r="F24" s="74">
        <v>345</v>
      </c>
      <c r="G24" s="74">
        <v>35</v>
      </c>
      <c r="H24" s="73">
        <v>0.71</v>
      </c>
      <c r="I24" s="73">
        <v>0.27</v>
      </c>
      <c r="J24" s="73">
        <v>0.03</v>
      </c>
    </row>
    <row r="25" spans="1:10" x14ac:dyDescent="0.25">
      <c r="A25" s="67" t="s">
        <v>92</v>
      </c>
      <c r="B25" s="74">
        <v>610</v>
      </c>
      <c r="C25" s="73">
        <v>0.01</v>
      </c>
      <c r="D25" s="74">
        <v>675</v>
      </c>
      <c r="E25" s="74">
        <v>500</v>
      </c>
      <c r="F25" s="74">
        <v>145</v>
      </c>
      <c r="G25" s="74">
        <v>35</v>
      </c>
      <c r="H25" s="73">
        <v>0.74</v>
      </c>
      <c r="I25" s="73">
        <v>0.21</v>
      </c>
      <c r="J25" s="73">
        <v>0.05</v>
      </c>
    </row>
    <row r="26" spans="1:10" x14ac:dyDescent="0.25">
      <c r="A26" s="67" t="s">
        <v>227</v>
      </c>
      <c r="B26" s="74">
        <v>3490</v>
      </c>
      <c r="C26" s="73">
        <v>0.01</v>
      </c>
      <c r="D26" s="74">
        <v>3405</v>
      </c>
      <c r="E26" s="74">
        <v>2445</v>
      </c>
      <c r="F26" s="74">
        <v>830</v>
      </c>
      <c r="G26" s="74">
        <v>130</v>
      </c>
      <c r="H26" s="73">
        <v>0.72</v>
      </c>
      <c r="I26" s="73">
        <v>0.24</v>
      </c>
      <c r="J26" s="73">
        <v>0.04</v>
      </c>
    </row>
    <row r="27" spans="1:10" x14ac:dyDescent="0.25">
      <c r="A27" s="67" t="s">
        <v>93</v>
      </c>
      <c r="B27" s="74">
        <v>425</v>
      </c>
      <c r="C27" s="73">
        <v>0.02</v>
      </c>
      <c r="D27" s="74">
        <v>395</v>
      </c>
      <c r="E27" s="74">
        <v>290</v>
      </c>
      <c r="F27" s="74">
        <v>100</v>
      </c>
      <c r="G27" s="74">
        <v>10</v>
      </c>
      <c r="H27" s="73">
        <v>0.73</v>
      </c>
      <c r="I27" s="73">
        <v>0.25</v>
      </c>
      <c r="J27" s="73">
        <v>0.02</v>
      </c>
    </row>
    <row r="28" spans="1:10" x14ac:dyDescent="0.25">
      <c r="A28" s="67" t="s">
        <v>94</v>
      </c>
      <c r="B28" s="74">
        <v>3295</v>
      </c>
      <c r="C28" s="73">
        <v>0.03</v>
      </c>
      <c r="D28" s="74">
        <v>3065</v>
      </c>
      <c r="E28" s="74">
        <v>2220</v>
      </c>
      <c r="F28" s="74">
        <v>710</v>
      </c>
      <c r="G28" s="74">
        <v>135</v>
      </c>
      <c r="H28" s="73">
        <v>0.73</v>
      </c>
      <c r="I28" s="73">
        <v>0.23</v>
      </c>
      <c r="J28" s="73">
        <v>0.04</v>
      </c>
    </row>
    <row r="29" spans="1:10" x14ac:dyDescent="0.25">
      <c r="A29" s="67" t="s">
        <v>95</v>
      </c>
      <c r="B29" s="74">
        <v>3065</v>
      </c>
      <c r="C29" s="73">
        <v>0.03</v>
      </c>
      <c r="D29" s="74">
        <v>2960</v>
      </c>
      <c r="E29" s="74">
        <v>2090</v>
      </c>
      <c r="F29" s="74">
        <v>820</v>
      </c>
      <c r="G29" s="74">
        <v>55</v>
      </c>
      <c r="H29" s="73">
        <v>0.71</v>
      </c>
      <c r="I29" s="73">
        <v>0.28000000000000003</v>
      </c>
      <c r="J29" s="73">
        <v>0.02</v>
      </c>
    </row>
    <row r="30" spans="1:10" x14ac:dyDescent="0.25">
      <c r="A30" s="67" t="s">
        <v>96</v>
      </c>
      <c r="B30" s="74">
        <v>1455</v>
      </c>
      <c r="C30" s="73">
        <v>0.03</v>
      </c>
      <c r="D30" s="74">
        <v>1605</v>
      </c>
      <c r="E30" s="74">
        <v>1125</v>
      </c>
      <c r="F30" s="74">
        <v>375</v>
      </c>
      <c r="G30" s="74">
        <v>110</v>
      </c>
      <c r="H30" s="73">
        <v>0.7</v>
      </c>
      <c r="I30" s="73">
        <v>0.23</v>
      </c>
      <c r="J30" s="73">
        <v>7.0000000000000007E-2</v>
      </c>
    </row>
    <row r="31" spans="1:10" x14ac:dyDescent="0.25">
      <c r="A31" s="67" t="s">
        <v>228</v>
      </c>
      <c r="B31" s="74">
        <v>8240</v>
      </c>
      <c r="C31" s="73">
        <v>0.03</v>
      </c>
      <c r="D31" s="74">
        <v>8030</v>
      </c>
      <c r="E31" s="74">
        <v>5725</v>
      </c>
      <c r="F31" s="74">
        <v>2000</v>
      </c>
      <c r="G31" s="74">
        <v>305</v>
      </c>
      <c r="H31" s="73">
        <v>0.71</v>
      </c>
      <c r="I31" s="73">
        <v>0.25</v>
      </c>
      <c r="J31" s="73">
        <v>0.04</v>
      </c>
    </row>
    <row r="32" spans="1:10" x14ac:dyDescent="0.25">
      <c r="A32" s="67" t="s">
        <v>97</v>
      </c>
      <c r="B32" s="74">
        <v>610</v>
      </c>
      <c r="C32" s="73">
        <v>0.03</v>
      </c>
      <c r="D32" s="74">
        <v>560</v>
      </c>
      <c r="E32" s="74">
        <v>445</v>
      </c>
      <c r="F32" s="74">
        <v>110</v>
      </c>
      <c r="G32" s="74">
        <v>5</v>
      </c>
      <c r="H32" s="73">
        <v>0.79</v>
      </c>
      <c r="I32" s="73">
        <v>0.2</v>
      </c>
      <c r="J32" s="73">
        <v>0.01</v>
      </c>
    </row>
    <row r="33" spans="1:10" x14ac:dyDescent="0.25">
      <c r="A33" s="67" t="s">
        <v>98</v>
      </c>
      <c r="B33" s="74">
        <v>4525</v>
      </c>
      <c r="C33" s="73">
        <v>0.04</v>
      </c>
      <c r="D33" s="74">
        <v>4280</v>
      </c>
      <c r="E33" s="74">
        <v>3085</v>
      </c>
      <c r="F33" s="74">
        <v>1015</v>
      </c>
      <c r="G33" s="74">
        <v>180</v>
      </c>
      <c r="H33" s="73">
        <v>0.72</v>
      </c>
      <c r="I33" s="73">
        <v>0.24</v>
      </c>
      <c r="J33" s="73">
        <v>0.04</v>
      </c>
    </row>
    <row r="34" spans="1:10" x14ac:dyDescent="0.25">
      <c r="A34" s="67" t="s">
        <v>99</v>
      </c>
      <c r="B34" s="74">
        <v>3785</v>
      </c>
      <c r="C34" s="73">
        <v>0.03</v>
      </c>
      <c r="D34" s="74">
        <v>3615</v>
      </c>
      <c r="E34" s="74">
        <v>2565</v>
      </c>
      <c r="F34" s="74">
        <v>975</v>
      </c>
      <c r="G34" s="74">
        <v>75</v>
      </c>
      <c r="H34" s="73">
        <v>0.71</v>
      </c>
      <c r="I34" s="73">
        <v>0.27</v>
      </c>
      <c r="J34" s="73">
        <v>0.02</v>
      </c>
    </row>
    <row r="35" spans="1:10" x14ac:dyDescent="0.25">
      <c r="A35" s="67" t="s">
        <v>100</v>
      </c>
      <c r="B35" s="74">
        <v>2000</v>
      </c>
      <c r="C35" s="73">
        <v>0.03</v>
      </c>
      <c r="D35" s="74">
        <v>2165</v>
      </c>
      <c r="E35" s="74">
        <v>1555</v>
      </c>
      <c r="F35" s="74">
        <v>440</v>
      </c>
      <c r="G35" s="74">
        <v>165</v>
      </c>
      <c r="H35" s="73">
        <v>0.72</v>
      </c>
      <c r="I35" s="73">
        <v>0.2</v>
      </c>
      <c r="J35" s="73">
        <v>0.08</v>
      </c>
    </row>
    <row r="36" spans="1:10" x14ac:dyDescent="0.25">
      <c r="A36" s="67" t="s">
        <v>229</v>
      </c>
      <c r="B36" s="74">
        <v>10925</v>
      </c>
      <c r="C36" s="73">
        <v>0.03</v>
      </c>
      <c r="D36" s="74">
        <v>10620</v>
      </c>
      <c r="E36" s="74">
        <v>7645</v>
      </c>
      <c r="F36" s="74">
        <v>2545</v>
      </c>
      <c r="G36" s="74">
        <v>430</v>
      </c>
      <c r="H36" s="73">
        <v>0.72</v>
      </c>
      <c r="I36" s="73">
        <v>0.24</v>
      </c>
      <c r="J36" s="73">
        <v>0.04</v>
      </c>
    </row>
    <row r="37" spans="1:10" x14ac:dyDescent="0.25">
      <c r="A37" s="67" t="s">
        <v>101</v>
      </c>
      <c r="B37" s="74">
        <v>550</v>
      </c>
      <c r="C37" s="73">
        <v>0.03</v>
      </c>
      <c r="D37" s="74">
        <v>510</v>
      </c>
      <c r="E37" s="74">
        <v>355</v>
      </c>
      <c r="F37" s="74">
        <v>135</v>
      </c>
      <c r="G37" s="74">
        <v>20</v>
      </c>
      <c r="H37" s="73">
        <v>0.7</v>
      </c>
      <c r="I37" s="73">
        <v>0.27</v>
      </c>
      <c r="J37" s="73">
        <v>0.04</v>
      </c>
    </row>
    <row r="38" spans="1:10" x14ac:dyDescent="0.25">
      <c r="A38" s="67" t="s">
        <v>102</v>
      </c>
      <c r="B38" s="74">
        <v>3825</v>
      </c>
      <c r="C38" s="73">
        <v>0.03</v>
      </c>
      <c r="D38" s="74">
        <v>3595</v>
      </c>
      <c r="E38" s="74">
        <v>2550</v>
      </c>
      <c r="F38" s="74">
        <v>870</v>
      </c>
      <c r="G38" s="74">
        <v>180</v>
      </c>
      <c r="H38" s="73">
        <v>0.71</v>
      </c>
      <c r="I38" s="73">
        <v>0.24</v>
      </c>
      <c r="J38" s="73">
        <v>0.05</v>
      </c>
    </row>
    <row r="39" spans="1:10" x14ac:dyDescent="0.25">
      <c r="A39" s="67" t="s">
        <v>103</v>
      </c>
      <c r="B39" s="74">
        <v>3410</v>
      </c>
      <c r="C39" s="73">
        <v>0.03</v>
      </c>
      <c r="D39" s="74">
        <v>3220</v>
      </c>
      <c r="E39" s="74">
        <v>2305</v>
      </c>
      <c r="F39" s="74">
        <v>860</v>
      </c>
      <c r="G39" s="74">
        <v>55</v>
      </c>
      <c r="H39" s="73">
        <v>0.72</v>
      </c>
      <c r="I39" s="73">
        <v>0.27</v>
      </c>
      <c r="J39" s="73">
        <v>0.02</v>
      </c>
    </row>
    <row r="40" spans="1:10" x14ac:dyDescent="0.25">
      <c r="A40" s="67" t="s">
        <v>104</v>
      </c>
      <c r="B40" s="74">
        <v>1695</v>
      </c>
      <c r="C40" s="73">
        <v>0.03</v>
      </c>
      <c r="D40" s="74">
        <v>1950</v>
      </c>
      <c r="E40" s="74">
        <v>1415</v>
      </c>
      <c r="F40" s="74">
        <v>420</v>
      </c>
      <c r="G40" s="74">
        <v>115</v>
      </c>
      <c r="H40" s="73">
        <v>0.73</v>
      </c>
      <c r="I40" s="73">
        <v>0.21</v>
      </c>
      <c r="J40" s="73">
        <v>0.06</v>
      </c>
    </row>
    <row r="41" spans="1:10" x14ac:dyDescent="0.25">
      <c r="A41" s="67" t="s">
        <v>230</v>
      </c>
      <c r="B41" s="74">
        <v>9485</v>
      </c>
      <c r="C41" s="73">
        <v>0.03</v>
      </c>
      <c r="D41" s="74">
        <v>9280</v>
      </c>
      <c r="E41" s="74">
        <v>6630</v>
      </c>
      <c r="F41" s="74">
        <v>2285</v>
      </c>
      <c r="G41" s="74">
        <v>365</v>
      </c>
      <c r="H41" s="73">
        <v>0.71</v>
      </c>
      <c r="I41" s="73">
        <v>0.25</v>
      </c>
      <c r="J41" s="73">
        <v>0.04</v>
      </c>
    </row>
    <row r="42" spans="1:10" x14ac:dyDescent="0.25">
      <c r="A42" s="67" t="s">
        <v>105</v>
      </c>
      <c r="B42" s="74">
        <v>175</v>
      </c>
      <c r="C42" s="73">
        <v>0.01</v>
      </c>
      <c r="D42" s="74">
        <v>165</v>
      </c>
      <c r="E42" s="74">
        <v>115</v>
      </c>
      <c r="F42" s="74">
        <v>45</v>
      </c>
      <c r="G42" s="74">
        <v>5</v>
      </c>
      <c r="H42" s="73">
        <v>0.71</v>
      </c>
      <c r="I42" s="73">
        <v>0.26</v>
      </c>
      <c r="J42" s="73">
        <v>0.02</v>
      </c>
    </row>
    <row r="43" spans="1:10" x14ac:dyDescent="0.25">
      <c r="A43" s="67" t="s">
        <v>106</v>
      </c>
      <c r="B43" s="74">
        <v>1210</v>
      </c>
      <c r="C43" s="73">
        <v>0.01</v>
      </c>
      <c r="D43" s="74">
        <v>1115</v>
      </c>
      <c r="E43" s="74">
        <v>785</v>
      </c>
      <c r="F43" s="74">
        <v>295</v>
      </c>
      <c r="G43" s="74">
        <v>35</v>
      </c>
      <c r="H43" s="73">
        <v>0.7</v>
      </c>
      <c r="I43" s="73">
        <v>0.26</v>
      </c>
      <c r="J43" s="73">
        <v>0.03</v>
      </c>
    </row>
    <row r="44" spans="1:10" x14ac:dyDescent="0.25">
      <c r="A44" s="67" t="s">
        <v>107</v>
      </c>
      <c r="B44" s="74">
        <v>1210</v>
      </c>
      <c r="C44" s="73">
        <v>0.01</v>
      </c>
      <c r="D44" s="74">
        <v>1160</v>
      </c>
      <c r="E44" s="74">
        <v>805</v>
      </c>
      <c r="F44" s="74">
        <v>335</v>
      </c>
      <c r="G44" s="74">
        <v>15</v>
      </c>
      <c r="H44" s="73">
        <v>0.7</v>
      </c>
      <c r="I44" s="73">
        <v>0.28999999999999998</v>
      </c>
      <c r="J44" s="73">
        <v>0.01</v>
      </c>
    </row>
    <row r="45" spans="1:10" x14ac:dyDescent="0.25">
      <c r="A45" s="67" t="s">
        <v>108</v>
      </c>
      <c r="B45" s="74">
        <v>585</v>
      </c>
      <c r="C45" s="73">
        <v>0.01</v>
      </c>
      <c r="D45" s="74">
        <v>665</v>
      </c>
      <c r="E45" s="74">
        <v>465</v>
      </c>
      <c r="F45" s="74">
        <v>175</v>
      </c>
      <c r="G45" s="74">
        <v>30</v>
      </c>
      <c r="H45" s="73">
        <v>0.69</v>
      </c>
      <c r="I45" s="73">
        <v>0.26</v>
      </c>
      <c r="J45" s="73">
        <v>0.05</v>
      </c>
    </row>
    <row r="46" spans="1:10" x14ac:dyDescent="0.25">
      <c r="A46" s="67" t="s">
        <v>231</v>
      </c>
      <c r="B46" s="74">
        <v>3175</v>
      </c>
      <c r="C46" s="73">
        <v>0.01</v>
      </c>
      <c r="D46" s="74">
        <v>3100</v>
      </c>
      <c r="E46" s="74">
        <v>2170</v>
      </c>
      <c r="F46" s="74">
        <v>845</v>
      </c>
      <c r="G46" s="74">
        <v>85</v>
      </c>
      <c r="H46" s="73">
        <v>0.7</v>
      </c>
      <c r="I46" s="73">
        <v>0.27</v>
      </c>
      <c r="J46" s="73">
        <v>0.03</v>
      </c>
    </row>
    <row r="47" spans="1:10" x14ac:dyDescent="0.25">
      <c r="A47" s="67" t="s">
        <v>109</v>
      </c>
      <c r="B47" s="74">
        <v>295</v>
      </c>
      <c r="C47" s="73">
        <v>0.02</v>
      </c>
      <c r="D47" s="74">
        <v>270</v>
      </c>
      <c r="E47" s="74">
        <v>190</v>
      </c>
      <c r="F47" s="74">
        <v>70</v>
      </c>
      <c r="G47" s="74">
        <v>5</v>
      </c>
      <c r="H47" s="73">
        <v>0.71</v>
      </c>
      <c r="I47" s="73">
        <v>0.27</v>
      </c>
      <c r="J47" s="73">
        <v>0.02</v>
      </c>
    </row>
    <row r="48" spans="1:10" x14ac:dyDescent="0.25">
      <c r="A48" s="67" t="s">
        <v>110</v>
      </c>
      <c r="B48" s="74">
        <v>2055</v>
      </c>
      <c r="C48" s="73">
        <v>0.02</v>
      </c>
      <c r="D48" s="74">
        <v>1920</v>
      </c>
      <c r="E48" s="74">
        <v>1330</v>
      </c>
      <c r="F48" s="74">
        <v>520</v>
      </c>
      <c r="G48" s="74">
        <v>70</v>
      </c>
      <c r="H48" s="73">
        <v>0.69</v>
      </c>
      <c r="I48" s="73">
        <v>0.27</v>
      </c>
      <c r="J48" s="73">
        <v>0.04</v>
      </c>
    </row>
    <row r="49" spans="1:10" x14ac:dyDescent="0.25">
      <c r="A49" s="67" t="s">
        <v>111</v>
      </c>
      <c r="B49" s="74">
        <v>1910</v>
      </c>
      <c r="C49" s="73">
        <v>0.02</v>
      </c>
      <c r="D49" s="74">
        <v>1825</v>
      </c>
      <c r="E49" s="74">
        <v>1260</v>
      </c>
      <c r="F49" s="74">
        <v>545</v>
      </c>
      <c r="G49" s="74">
        <v>15</v>
      </c>
      <c r="H49" s="73">
        <v>0.69</v>
      </c>
      <c r="I49" s="73">
        <v>0.3</v>
      </c>
      <c r="J49" s="73">
        <v>0.01</v>
      </c>
    </row>
    <row r="50" spans="1:10" x14ac:dyDescent="0.25">
      <c r="A50" s="67" t="s">
        <v>112</v>
      </c>
      <c r="B50" s="74">
        <v>1000</v>
      </c>
      <c r="C50" s="73">
        <v>0.02</v>
      </c>
      <c r="D50" s="74">
        <v>1100</v>
      </c>
      <c r="E50" s="74">
        <v>810</v>
      </c>
      <c r="F50" s="74">
        <v>230</v>
      </c>
      <c r="G50" s="74">
        <v>60</v>
      </c>
      <c r="H50" s="73">
        <v>0.73</v>
      </c>
      <c r="I50" s="73">
        <v>0.21</v>
      </c>
      <c r="J50" s="73">
        <v>0.06</v>
      </c>
    </row>
    <row r="51" spans="1:10" x14ac:dyDescent="0.25">
      <c r="A51" s="67" t="s">
        <v>232</v>
      </c>
      <c r="B51" s="74">
        <v>5260</v>
      </c>
      <c r="C51" s="73">
        <v>0.02</v>
      </c>
      <c r="D51" s="74">
        <v>5110</v>
      </c>
      <c r="E51" s="74">
        <v>3590</v>
      </c>
      <c r="F51" s="74">
        <v>1365</v>
      </c>
      <c r="G51" s="74">
        <v>155</v>
      </c>
      <c r="H51" s="73">
        <v>0.7</v>
      </c>
      <c r="I51" s="73">
        <v>0.27</v>
      </c>
      <c r="J51" s="73">
        <v>0.03</v>
      </c>
    </row>
    <row r="52" spans="1:10" x14ac:dyDescent="0.25">
      <c r="A52" s="67" t="s">
        <v>113</v>
      </c>
      <c r="B52" s="74">
        <v>185</v>
      </c>
      <c r="C52" s="73">
        <v>0.01</v>
      </c>
      <c r="D52" s="74">
        <v>170</v>
      </c>
      <c r="E52" s="74">
        <v>125</v>
      </c>
      <c r="F52" s="74">
        <v>40</v>
      </c>
      <c r="G52" s="74">
        <v>5</v>
      </c>
      <c r="H52" s="73">
        <v>0.73</v>
      </c>
      <c r="I52" s="73">
        <v>0.23</v>
      </c>
      <c r="J52" s="73">
        <v>0.04</v>
      </c>
    </row>
    <row r="53" spans="1:10" x14ac:dyDescent="0.25">
      <c r="A53" s="67" t="s">
        <v>114</v>
      </c>
      <c r="B53" s="74">
        <v>1085</v>
      </c>
      <c r="C53" s="73">
        <v>0.01</v>
      </c>
      <c r="D53" s="74">
        <v>1035</v>
      </c>
      <c r="E53" s="74">
        <v>710</v>
      </c>
      <c r="F53" s="74">
        <v>290</v>
      </c>
      <c r="G53" s="74">
        <v>35</v>
      </c>
      <c r="H53" s="73">
        <v>0.69</v>
      </c>
      <c r="I53" s="73">
        <v>0.28000000000000003</v>
      </c>
      <c r="J53" s="73">
        <v>0.03</v>
      </c>
    </row>
    <row r="54" spans="1:10" x14ac:dyDescent="0.25">
      <c r="A54" s="67" t="s">
        <v>115</v>
      </c>
      <c r="B54" s="74">
        <v>1125</v>
      </c>
      <c r="C54" s="73">
        <v>0.01</v>
      </c>
      <c r="D54" s="74">
        <v>1050</v>
      </c>
      <c r="E54" s="74">
        <v>710</v>
      </c>
      <c r="F54" s="74">
        <v>320</v>
      </c>
      <c r="G54" s="74">
        <v>20</v>
      </c>
      <c r="H54" s="73">
        <v>0.68</v>
      </c>
      <c r="I54" s="73">
        <v>0.31</v>
      </c>
      <c r="J54" s="73">
        <v>0.02</v>
      </c>
    </row>
    <row r="55" spans="1:10" x14ac:dyDescent="0.25">
      <c r="A55" s="67" t="s">
        <v>116</v>
      </c>
      <c r="B55" s="74">
        <v>545</v>
      </c>
      <c r="C55" s="73">
        <v>0.01</v>
      </c>
      <c r="D55" s="74">
        <v>615</v>
      </c>
      <c r="E55" s="74">
        <v>415</v>
      </c>
      <c r="F55" s="74">
        <v>170</v>
      </c>
      <c r="G55" s="74">
        <v>30</v>
      </c>
      <c r="H55" s="73">
        <v>0.68</v>
      </c>
      <c r="I55" s="73">
        <v>0.27</v>
      </c>
      <c r="J55" s="73">
        <v>0.05</v>
      </c>
    </row>
    <row r="56" spans="1:10" x14ac:dyDescent="0.25">
      <c r="A56" s="67" t="s">
        <v>233</v>
      </c>
      <c r="B56" s="74">
        <v>2940</v>
      </c>
      <c r="C56" s="73">
        <v>0.01</v>
      </c>
      <c r="D56" s="74">
        <v>2870</v>
      </c>
      <c r="E56" s="74">
        <v>1960</v>
      </c>
      <c r="F56" s="74">
        <v>820</v>
      </c>
      <c r="G56" s="74">
        <v>90</v>
      </c>
      <c r="H56" s="73">
        <v>0.68</v>
      </c>
      <c r="I56" s="73">
        <v>0.28000000000000003</v>
      </c>
      <c r="J56" s="73">
        <v>0.03</v>
      </c>
    </row>
    <row r="57" spans="1:10" x14ac:dyDescent="0.25">
      <c r="A57" s="67" t="s">
        <v>117</v>
      </c>
      <c r="B57" s="74">
        <v>1030</v>
      </c>
      <c r="C57" s="73">
        <v>0.05</v>
      </c>
      <c r="D57" s="74">
        <v>935</v>
      </c>
      <c r="E57" s="74">
        <v>645</v>
      </c>
      <c r="F57" s="74">
        <v>270</v>
      </c>
      <c r="G57" s="74">
        <v>20</v>
      </c>
      <c r="H57" s="73">
        <v>0.69</v>
      </c>
      <c r="I57" s="73">
        <v>0.28999999999999998</v>
      </c>
      <c r="J57" s="73">
        <v>0.02</v>
      </c>
    </row>
    <row r="58" spans="1:10" x14ac:dyDescent="0.25">
      <c r="A58" s="67" t="s">
        <v>118</v>
      </c>
      <c r="B58" s="74">
        <v>7075</v>
      </c>
      <c r="C58" s="73">
        <v>0.06</v>
      </c>
      <c r="D58" s="74">
        <v>6605</v>
      </c>
      <c r="E58" s="74">
        <v>4640</v>
      </c>
      <c r="F58" s="74">
        <v>1705</v>
      </c>
      <c r="G58" s="74">
        <v>260</v>
      </c>
      <c r="H58" s="73">
        <v>0.7</v>
      </c>
      <c r="I58" s="73">
        <v>0.26</v>
      </c>
      <c r="J58" s="73">
        <v>0.04</v>
      </c>
    </row>
    <row r="59" spans="1:10" x14ac:dyDescent="0.25">
      <c r="A59" s="67" t="s">
        <v>119</v>
      </c>
      <c r="B59" s="74">
        <v>7970</v>
      </c>
      <c r="C59" s="73">
        <v>7.0000000000000007E-2</v>
      </c>
      <c r="D59" s="74">
        <v>7485</v>
      </c>
      <c r="E59" s="74">
        <v>5130</v>
      </c>
      <c r="F59" s="74">
        <v>2200</v>
      </c>
      <c r="G59" s="74">
        <v>150</v>
      </c>
      <c r="H59" s="73">
        <v>0.69</v>
      </c>
      <c r="I59" s="73">
        <v>0.28999999999999998</v>
      </c>
      <c r="J59" s="73">
        <v>0.02</v>
      </c>
    </row>
    <row r="60" spans="1:10" x14ac:dyDescent="0.25">
      <c r="A60" s="67" t="s">
        <v>120</v>
      </c>
      <c r="B60" s="74">
        <v>3810</v>
      </c>
      <c r="C60" s="73">
        <v>7.0000000000000007E-2</v>
      </c>
      <c r="D60" s="74">
        <v>4305</v>
      </c>
      <c r="E60" s="74">
        <v>2980</v>
      </c>
      <c r="F60" s="74">
        <v>1070</v>
      </c>
      <c r="G60" s="74">
        <v>255</v>
      </c>
      <c r="H60" s="73">
        <v>0.69</v>
      </c>
      <c r="I60" s="73">
        <v>0.25</v>
      </c>
      <c r="J60" s="73">
        <v>0.06</v>
      </c>
    </row>
    <row r="61" spans="1:10" x14ac:dyDescent="0.25">
      <c r="A61" s="67" t="s">
        <v>234</v>
      </c>
      <c r="B61" s="74">
        <v>19890</v>
      </c>
      <c r="C61" s="73">
        <v>0.06</v>
      </c>
      <c r="D61" s="74">
        <v>19330</v>
      </c>
      <c r="E61" s="74">
        <v>13395</v>
      </c>
      <c r="F61" s="74">
        <v>5245</v>
      </c>
      <c r="G61" s="74">
        <v>690</v>
      </c>
      <c r="H61" s="73">
        <v>0.69</v>
      </c>
      <c r="I61" s="73">
        <v>0.27</v>
      </c>
      <c r="J61" s="73">
        <v>0.04</v>
      </c>
    </row>
    <row r="62" spans="1:10" x14ac:dyDescent="0.25">
      <c r="A62" s="67" t="s">
        <v>121</v>
      </c>
      <c r="B62" s="74">
        <v>525</v>
      </c>
      <c r="C62" s="73">
        <v>0.03</v>
      </c>
      <c r="D62" s="74">
        <v>460</v>
      </c>
      <c r="E62" s="74">
        <v>320</v>
      </c>
      <c r="F62" s="74">
        <v>125</v>
      </c>
      <c r="G62" s="74">
        <v>15</v>
      </c>
      <c r="H62" s="73">
        <v>0.69</v>
      </c>
      <c r="I62" s="73">
        <v>0.28000000000000003</v>
      </c>
      <c r="J62" s="73">
        <v>0.03</v>
      </c>
    </row>
    <row r="63" spans="1:10" x14ac:dyDescent="0.25">
      <c r="A63" s="67" t="s">
        <v>122</v>
      </c>
      <c r="B63" s="74">
        <v>3545</v>
      </c>
      <c r="C63" s="73">
        <v>0.03</v>
      </c>
      <c r="D63" s="74">
        <v>3370</v>
      </c>
      <c r="E63" s="74">
        <v>2425</v>
      </c>
      <c r="F63" s="74">
        <v>785</v>
      </c>
      <c r="G63" s="74">
        <v>155</v>
      </c>
      <c r="H63" s="73">
        <v>0.72</v>
      </c>
      <c r="I63" s="73">
        <v>0.23</v>
      </c>
      <c r="J63" s="73">
        <v>0.05</v>
      </c>
    </row>
    <row r="64" spans="1:10" x14ac:dyDescent="0.25">
      <c r="A64" s="67" t="s">
        <v>123</v>
      </c>
      <c r="B64" s="74">
        <v>3315</v>
      </c>
      <c r="C64" s="73">
        <v>0.03</v>
      </c>
      <c r="D64" s="74">
        <v>3140</v>
      </c>
      <c r="E64" s="74">
        <v>2255</v>
      </c>
      <c r="F64" s="74">
        <v>840</v>
      </c>
      <c r="G64" s="74">
        <v>45</v>
      </c>
      <c r="H64" s="73">
        <v>0.72</v>
      </c>
      <c r="I64" s="73">
        <v>0.27</v>
      </c>
      <c r="J64" s="73">
        <v>0.01</v>
      </c>
    </row>
    <row r="65" spans="1:10" x14ac:dyDescent="0.25">
      <c r="A65" s="67" t="s">
        <v>124</v>
      </c>
      <c r="B65" s="74">
        <v>1700</v>
      </c>
      <c r="C65" s="73">
        <v>0.03</v>
      </c>
      <c r="D65" s="74">
        <v>1895</v>
      </c>
      <c r="E65" s="74">
        <v>1340</v>
      </c>
      <c r="F65" s="74">
        <v>415</v>
      </c>
      <c r="G65" s="74">
        <v>140</v>
      </c>
      <c r="H65" s="73">
        <v>0.71</v>
      </c>
      <c r="I65" s="73">
        <v>0.22</v>
      </c>
      <c r="J65" s="73">
        <v>7.0000000000000007E-2</v>
      </c>
    </row>
    <row r="66" spans="1:10" x14ac:dyDescent="0.25">
      <c r="A66" s="67" t="s">
        <v>235</v>
      </c>
      <c r="B66" s="74">
        <v>9085</v>
      </c>
      <c r="C66" s="73">
        <v>0.03</v>
      </c>
      <c r="D66" s="74">
        <v>8865</v>
      </c>
      <c r="E66" s="74">
        <v>6335</v>
      </c>
      <c r="F66" s="74">
        <v>2170</v>
      </c>
      <c r="G66" s="74">
        <v>360</v>
      </c>
      <c r="H66" s="73">
        <v>0.71</v>
      </c>
      <c r="I66" s="73">
        <v>0.25</v>
      </c>
      <c r="J66" s="73">
        <v>0.04</v>
      </c>
    </row>
    <row r="67" spans="1:10" x14ac:dyDescent="0.25">
      <c r="A67" s="67" t="s">
        <v>125</v>
      </c>
      <c r="B67" s="74">
        <v>1325</v>
      </c>
      <c r="C67" s="73">
        <v>7.0000000000000007E-2</v>
      </c>
      <c r="D67" s="74">
        <v>1230</v>
      </c>
      <c r="E67" s="74">
        <v>910</v>
      </c>
      <c r="F67" s="74">
        <v>305</v>
      </c>
      <c r="G67" s="74">
        <v>15</v>
      </c>
      <c r="H67" s="73">
        <v>0.74</v>
      </c>
      <c r="I67" s="73">
        <v>0.25</v>
      </c>
      <c r="J67" s="73">
        <v>0.01</v>
      </c>
    </row>
    <row r="68" spans="1:10" x14ac:dyDescent="0.25">
      <c r="A68" s="67" t="s">
        <v>126</v>
      </c>
      <c r="B68" s="74">
        <v>9480</v>
      </c>
      <c r="C68" s="73">
        <v>7.0000000000000007E-2</v>
      </c>
      <c r="D68" s="74">
        <v>8885</v>
      </c>
      <c r="E68" s="74">
        <v>6310</v>
      </c>
      <c r="F68" s="74">
        <v>2165</v>
      </c>
      <c r="G68" s="74">
        <v>410</v>
      </c>
      <c r="H68" s="73">
        <v>0.71</v>
      </c>
      <c r="I68" s="73">
        <v>0.24</v>
      </c>
      <c r="J68" s="73">
        <v>0.05</v>
      </c>
    </row>
    <row r="69" spans="1:10" x14ac:dyDescent="0.25">
      <c r="A69" s="67" t="s">
        <v>127</v>
      </c>
      <c r="B69" s="74">
        <v>8500</v>
      </c>
      <c r="C69" s="73">
        <v>7.0000000000000007E-2</v>
      </c>
      <c r="D69" s="74">
        <v>8125</v>
      </c>
      <c r="E69" s="74">
        <v>5825</v>
      </c>
      <c r="F69" s="74">
        <v>2195</v>
      </c>
      <c r="G69" s="74">
        <v>105</v>
      </c>
      <c r="H69" s="73">
        <v>0.72</v>
      </c>
      <c r="I69" s="73">
        <v>0.27</v>
      </c>
      <c r="J69" s="73">
        <v>0.01</v>
      </c>
    </row>
    <row r="70" spans="1:10" x14ac:dyDescent="0.25">
      <c r="A70" s="67" t="s">
        <v>128</v>
      </c>
      <c r="B70" s="74">
        <v>4455</v>
      </c>
      <c r="C70" s="73">
        <v>0.08</v>
      </c>
      <c r="D70" s="74">
        <v>4905</v>
      </c>
      <c r="E70" s="74">
        <v>3600</v>
      </c>
      <c r="F70" s="74">
        <v>1015</v>
      </c>
      <c r="G70" s="74">
        <v>290</v>
      </c>
      <c r="H70" s="73">
        <v>0.73</v>
      </c>
      <c r="I70" s="73">
        <v>0.21</v>
      </c>
      <c r="J70" s="73">
        <v>0.06</v>
      </c>
    </row>
    <row r="71" spans="1:10" x14ac:dyDescent="0.25">
      <c r="A71" s="67" t="s">
        <v>236</v>
      </c>
      <c r="B71" s="74">
        <v>23760</v>
      </c>
      <c r="C71" s="73">
        <v>7.0000000000000007E-2</v>
      </c>
      <c r="D71" s="74">
        <v>23150</v>
      </c>
      <c r="E71" s="74">
        <v>16650</v>
      </c>
      <c r="F71" s="74">
        <v>5680</v>
      </c>
      <c r="G71" s="74">
        <v>825</v>
      </c>
      <c r="H71" s="73">
        <v>0.72</v>
      </c>
      <c r="I71" s="73">
        <v>0.25</v>
      </c>
      <c r="J71" s="73">
        <v>0.04</v>
      </c>
    </row>
    <row r="72" spans="1:10" x14ac:dyDescent="0.25">
      <c r="A72" s="67" t="s">
        <v>129</v>
      </c>
      <c r="B72" s="74">
        <v>2685</v>
      </c>
      <c r="C72" s="73">
        <v>0.14000000000000001</v>
      </c>
      <c r="D72" s="74">
        <v>2415</v>
      </c>
      <c r="E72" s="74">
        <v>1820</v>
      </c>
      <c r="F72" s="74">
        <v>540</v>
      </c>
      <c r="G72" s="74">
        <v>55</v>
      </c>
      <c r="H72" s="73">
        <v>0.75</v>
      </c>
      <c r="I72" s="73">
        <v>0.22</v>
      </c>
      <c r="J72" s="73">
        <v>0.02</v>
      </c>
    </row>
    <row r="73" spans="1:10" x14ac:dyDescent="0.25">
      <c r="A73" s="67" t="s">
        <v>130</v>
      </c>
      <c r="B73" s="74">
        <v>21660</v>
      </c>
      <c r="C73" s="73">
        <v>0.17</v>
      </c>
      <c r="D73" s="74">
        <v>20300</v>
      </c>
      <c r="E73" s="74">
        <v>13815</v>
      </c>
      <c r="F73" s="74">
        <v>5535</v>
      </c>
      <c r="G73" s="74">
        <v>945</v>
      </c>
      <c r="H73" s="73">
        <v>0.68</v>
      </c>
      <c r="I73" s="73">
        <v>0.27</v>
      </c>
      <c r="J73" s="73">
        <v>0.05</v>
      </c>
    </row>
    <row r="74" spans="1:10" x14ac:dyDescent="0.25">
      <c r="A74" s="67" t="s">
        <v>131</v>
      </c>
      <c r="B74" s="74">
        <v>19675</v>
      </c>
      <c r="C74" s="73">
        <v>0.17</v>
      </c>
      <c r="D74" s="74">
        <v>18690</v>
      </c>
      <c r="E74" s="74">
        <v>12640</v>
      </c>
      <c r="F74" s="74">
        <v>5695</v>
      </c>
      <c r="G74" s="74">
        <v>355</v>
      </c>
      <c r="H74" s="73">
        <v>0.68</v>
      </c>
      <c r="I74" s="73">
        <v>0.3</v>
      </c>
      <c r="J74" s="73">
        <v>0.02</v>
      </c>
    </row>
    <row r="75" spans="1:10" x14ac:dyDescent="0.25">
      <c r="A75" s="67" t="s">
        <v>132</v>
      </c>
      <c r="B75" s="74">
        <v>9890</v>
      </c>
      <c r="C75" s="73">
        <v>0.17</v>
      </c>
      <c r="D75" s="74">
        <v>10765</v>
      </c>
      <c r="E75" s="74">
        <v>7455</v>
      </c>
      <c r="F75" s="74">
        <v>2615</v>
      </c>
      <c r="G75" s="74">
        <v>690</v>
      </c>
      <c r="H75" s="73">
        <v>0.69</v>
      </c>
      <c r="I75" s="73">
        <v>0.24</v>
      </c>
      <c r="J75" s="73">
        <v>0.06</v>
      </c>
    </row>
    <row r="76" spans="1:10" x14ac:dyDescent="0.25">
      <c r="A76" s="67" t="s">
        <v>237</v>
      </c>
      <c r="B76" s="74">
        <v>53910</v>
      </c>
      <c r="C76" s="73">
        <v>0.17</v>
      </c>
      <c r="D76" s="74">
        <v>52165</v>
      </c>
      <c r="E76" s="74">
        <v>35735</v>
      </c>
      <c r="F76" s="74">
        <v>14385</v>
      </c>
      <c r="G76" s="74">
        <v>2045</v>
      </c>
      <c r="H76" s="73">
        <v>0.69</v>
      </c>
      <c r="I76" s="73">
        <v>0.28000000000000003</v>
      </c>
      <c r="J76" s="73">
        <v>0.04</v>
      </c>
    </row>
    <row r="77" spans="1:10" x14ac:dyDescent="0.25">
      <c r="A77" s="67" t="s">
        <v>133</v>
      </c>
      <c r="B77" s="74">
        <v>615</v>
      </c>
      <c r="C77" s="73">
        <v>0.03</v>
      </c>
      <c r="D77" s="74">
        <v>575</v>
      </c>
      <c r="E77" s="74">
        <v>390</v>
      </c>
      <c r="F77" s="74">
        <v>175</v>
      </c>
      <c r="G77" s="74">
        <v>10</v>
      </c>
      <c r="H77" s="73">
        <v>0.68</v>
      </c>
      <c r="I77" s="73">
        <v>0.3</v>
      </c>
      <c r="J77" s="73">
        <v>0.02</v>
      </c>
    </row>
    <row r="78" spans="1:10" x14ac:dyDescent="0.25">
      <c r="A78" s="67" t="s">
        <v>134</v>
      </c>
      <c r="B78" s="74">
        <v>3785</v>
      </c>
      <c r="C78" s="73">
        <v>0.03</v>
      </c>
      <c r="D78" s="74">
        <v>3560</v>
      </c>
      <c r="E78" s="74">
        <v>2530</v>
      </c>
      <c r="F78" s="74">
        <v>870</v>
      </c>
      <c r="G78" s="74">
        <v>155</v>
      </c>
      <c r="H78" s="73">
        <v>0.71</v>
      </c>
      <c r="I78" s="73">
        <v>0.24</v>
      </c>
      <c r="J78" s="73">
        <v>0.04</v>
      </c>
    </row>
    <row r="79" spans="1:10" x14ac:dyDescent="0.25">
      <c r="A79" s="67" t="s">
        <v>135</v>
      </c>
      <c r="B79" s="74">
        <v>4145</v>
      </c>
      <c r="C79" s="73">
        <v>0.03</v>
      </c>
      <c r="D79" s="74">
        <v>3810</v>
      </c>
      <c r="E79" s="74">
        <v>2665</v>
      </c>
      <c r="F79" s="74">
        <v>1065</v>
      </c>
      <c r="G79" s="74">
        <v>80</v>
      </c>
      <c r="H79" s="73">
        <v>0.7</v>
      </c>
      <c r="I79" s="73">
        <v>0.28000000000000003</v>
      </c>
      <c r="J79" s="73">
        <v>0.02</v>
      </c>
    </row>
    <row r="80" spans="1:10" x14ac:dyDescent="0.25">
      <c r="A80" s="67" t="s">
        <v>136</v>
      </c>
      <c r="B80" s="74">
        <v>1910</v>
      </c>
      <c r="C80" s="73">
        <v>0.03</v>
      </c>
      <c r="D80" s="74">
        <v>2235</v>
      </c>
      <c r="E80" s="74">
        <v>1525</v>
      </c>
      <c r="F80" s="74">
        <v>585</v>
      </c>
      <c r="G80" s="74">
        <v>125</v>
      </c>
      <c r="H80" s="73">
        <v>0.68</v>
      </c>
      <c r="I80" s="73">
        <v>0.26</v>
      </c>
      <c r="J80" s="73">
        <v>0.06</v>
      </c>
    </row>
    <row r="81" spans="1:10" x14ac:dyDescent="0.25">
      <c r="A81" s="67" t="s">
        <v>238</v>
      </c>
      <c r="B81" s="74">
        <v>10455</v>
      </c>
      <c r="C81" s="73">
        <v>0.03</v>
      </c>
      <c r="D81" s="74">
        <v>10175</v>
      </c>
      <c r="E81" s="74">
        <v>7110</v>
      </c>
      <c r="F81" s="74">
        <v>2695</v>
      </c>
      <c r="G81" s="74">
        <v>370</v>
      </c>
      <c r="H81" s="73">
        <v>0.7</v>
      </c>
      <c r="I81" s="73">
        <v>0.27</v>
      </c>
      <c r="J81" s="73">
        <v>0.04</v>
      </c>
    </row>
    <row r="82" spans="1:10" x14ac:dyDescent="0.25">
      <c r="A82" s="67" t="s">
        <v>137</v>
      </c>
      <c r="B82" s="74">
        <v>325</v>
      </c>
      <c r="C82" s="73">
        <v>0.02</v>
      </c>
      <c r="D82" s="74">
        <v>305</v>
      </c>
      <c r="E82" s="74">
        <v>225</v>
      </c>
      <c r="F82" s="74">
        <v>75</v>
      </c>
      <c r="G82" s="74">
        <v>5</v>
      </c>
      <c r="H82" s="73">
        <v>0.73</v>
      </c>
      <c r="I82" s="73">
        <v>0.25</v>
      </c>
      <c r="J82" s="73">
        <v>0.02</v>
      </c>
    </row>
    <row r="83" spans="1:10" x14ac:dyDescent="0.25">
      <c r="A83" s="67" t="s">
        <v>138</v>
      </c>
      <c r="B83" s="74">
        <v>2270</v>
      </c>
      <c r="C83" s="73">
        <v>0.02</v>
      </c>
      <c r="D83" s="74">
        <v>2165</v>
      </c>
      <c r="E83" s="74">
        <v>1480</v>
      </c>
      <c r="F83" s="74">
        <v>610</v>
      </c>
      <c r="G83" s="74">
        <v>75</v>
      </c>
      <c r="H83" s="73">
        <v>0.68</v>
      </c>
      <c r="I83" s="73">
        <v>0.28000000000000003</v>
      </c>
      <c r="J83" s="73">
        <v>0.03</v>
      </c>
    </row>
    <row r="84" spans="1:10" x14ac:dyDescent="0.25">
      <c r="A84" s="67" t="s">
        <v>139</v>
      </c>
      <c r="B84" s="74">
        <v>1825</v>
      </c>
      <c r="C84" s="73">
        <v>0.02</v>
      </c>
      <c r="D84" s="74">
        <v>1745</v>
      </c>
      <c r="E84" s="74">
        <v>1215</v>
      </c>
      <c r="F84" s="74">
        <v>505</v>
      </c>
      <c r="G84" s="74">
        <v>30</v>
      </c>
      <c r="H84" s="73">
        <v>0.69</v>
      </c>
      <c r="I84" s="73">
        <v>0.28999999999999998</v>
      </c>
      <c r="J84" s="73">
        <v>0.02</v>
      </c>
    </row>
    <row r="85" spans="1:10" x14ac:dyDescent="0.25">
      <c r="A85" s="67" t="s">
        <v>140</v>
      </c>
      <c r="B85" s="74">
        <v>910</v>
      </c>
      <c r="C85" s="73">
        <v>0.02</v>
      </c>
      <c r="D85" s="74">
        <v>975</v>
      </c>
      <c r="E85" s="74">
        <v>690</v>
      </c>
      <c r="F85" s="74">
        <v>205</v>
      </c>
      <c r="G85" s="74">
        <v>75</v>
      </c>
      <c r="H85" s="73">
        <v>0.71</v>
      </c>
      <c r="I85" s="73">
        <v>0.21</v>
      </c>
      <c r="J85" s="73">
        <v>0.08</v>
      </c>
    </row>
    <row r="86" spans="1:10" x14ac:dyDescent="0.25">
      <c r="A86" s="67" t="s">
        <v>239</v>
      </c>
      <c r="B86" s="74">
        <v>5325</v>
      </c>
      <c r="C86" s="73">
        <v>0.02</v>
      </c>
      <c r="D86" s="74">
        <v>5190</v>
      </c>
      <c r="E86" s="74">
        <v>3610</v>
      </c>
      <c r="F86" s="74">
        <v>1400</v>
      </c>
      <c r="G86" s="74">
        <v>185</v>
      </c>
      <c r="H86" s="73">
        <v>0.7</v>
      </c>
      <c r="I86" s="73">
        <v>0.27</v>
      </c>
      <c r="J86" s="73">
        <v>0.04</v>
      </c>
    </row>
    <row r="87" spans="1:10" x14ac:dyDescent="0.25">
      <c r="A87" s="67" t="s">
        <v>141</v>
      </c>
      <c r="B87" s="74">
        <v>340</v>
      </c>
      <c r="C87" s="73">
        <v>0.02</v>
      </c>
      <c r="D87" s="74">
        <v>315</v>
      </c>
      <c r="E87" s="74">
        <v>225</v>
      </c>
      <c r="F87" s="74">
        <v>90</v>
      </c>
      <c r="G87" s="74">
        <v>5</v>
      </c>
      <c r="H87" s="73">
        <v>0.71</v>
      </c>
      <c r="I87" s="73">
        <v>0.28000000000000003</v>
      </c>
      <c r="J87" s="73">
        <v>0.01</v>
      </c>
    </row>
    <row r="88" spans="1:10" x14ac:dyDescent="0.25">
      <c r="A88" s="67" t="s">
        <v>142</v>
      </c>
      <c r="B88" s="74">
        <v>2240</v>
      </c>
      <c r="C88" s="73">
        <v>0.02</v>
      </c>
      <c r="D88" s="74">
        <v>2085</v>
      </c>
      <c r="E88" s="74">
        <v>1485</v>
      </c>
      <c r="F88" s="74">
        <v>520</v>
      </c>
      <c r="G88" s="74">
        <v>80</v>
      </c>
      <c r="H88" s="73">
        <v>0.71</v>
      </c>
      <c r="I88" s="73">
        <v>0.25</v>
      </c>
      <c r="J88" s="73">
        <v>0.04</v>
      </c>
    </row>
    <row r="89" spans="1:10" x14ac:dyDescent="0.25">
      <c r="A89" s="67" t="s">
        <v>143</v>
      </c>
      <c r="B89" s="74">
        <v>2230</v>
      </c>
      <c r="C89" s="73">
        <v>0.02</v>
      </c>
      <c r="D89" s="74">
        <v>2110</v>
      </c>
      <c r="E89" s="74">
        <v>1475</v>
      </c>
      <c r="F89" s="74">
        <v>600</v>
      </c>
      <c r="G89" s="74">
        <v>35</v>
      </c>
      <c r="H89" s="73">
        <v>0.7</v>
      </c>
      <c r="I89" s="73">
        <v>0.28999999999999998</v>
      </c>
      <c r="J89" s="73">
        <v>0.02</v>
      </c>
    </row>
    <row r="90" spans="1:10" x14ac:dyDescent="0.25">
      <c r="A90" s="67" t="s">
        <v>144</v>
      </c>
      <c r="B90" s="74">
        <v>1200</v>
      </c>
      <c r="C90" s="73">
        <v>0.02</v>
      </c>
      <c r="D90" s="74">
        <v>1345</v>
      </c>
      <c r="E90" s="74">
        <v>910</v>
      </c>
      <c r="F90" s="74">
        <v>315</v>
      </c>
      <c r="G90" s="74">
        <v>125</v>
      </c>
      <c r="H90" s="73">
        <v>0.68</v>
      </c>
      <c r="I90" s="73">
        <v>0.23</v>
      </c>
      <c r="J90" s="73">
        <v>0.09</v>
      </c>
    </row>
    <row r="91" spans="1:10" x14ac:dyDescent="0.25">
      <c r="A91" s="67" t="s">
        <v>240</v>
      </c>
      <c r="B91" s="74">
        <v>6010</v>
      </c>
      <c r="C91" s="73">
        <v>0.02</v>
      </c>
      <c r="D91" s="74">
        <v>5855</v>
      </c>
      <c r="E91" s="74">
        <v>4095</v>
      </c>
      <c r="F91" s="74">
        <v>1525</v>
      </c>
      <c r="G91" s="74">
        <v>240</v>
      </c>
      <c r="H91" s="73">
        <v>0.7</v>
      </c>
      <c r="I91" s="73">
        <v>0.26</v>
      </c>
      <c r="J91" s="73">
        <v>0.04</v>
      </c>
    </row>
    <row r="92" spans="1:10" x14ac:dyDescent="0.25">
      <c r="A92" s="67" t="s">
        <v>145</v>
      </c>
      <c r="B92" s="74">
        <v>280</v>
      </c>
      <c r="C92" s="73">
        <v>0.01</v>
      </c>
      <c r="D92" s="74">
        <v>255</v>
      </c>
      <c r="E92" s="74">
        <v>165</v>
      </c>
      <c r="F92" s="74">
        <v>85</v>
      </c>
      <c r="G92" s="74">
        <v>5</v>
      </c>
      <c r="H92" s="73">
        <v>0.65</v>
      </c>
      <c r="I92" s="73">
        <v>0.32</v>
      </c>
      <c r="J92" s="73">
        <v>0.02</v>
      </c>
    </row>
    <row r="93" spans="1:10" x14ac:dyDescent="0.25">
      <c r="A93" s="67" t="s">
        <v>146</v>
      </c>
      <c r="B93" s="74">
        <v>1595</v>
      </c>
      <c r="C93" s="73">
        <v>0.01</v>
      </c>
      <c r="D93" s="74">
        <v>1490</v>
      </c>
      <c r="E93" s="74">
        <v>1040</v>
      </c>
      <c r="F93" s="74">
        <v>385</v>
      </c>
      <c r="G93" s="74">
        <v>60</v>
      </c>
      <c r="H93" s="73">
        <v>0.7</v>
      </c>
      <c r="I93" s="73">
        <v>0.26</v>
      </c>
      <c r="J93" s="73">
        <v>0.04</v>
      </c>
    </row>
    <row r="94" spans="1:10" x14ac:dyDescent="0.25">
      <c r="A94" s="67" t="s">
        <v>147</v>
      </c>
      <c r="B94" s="74">
        <v>1655</v>
      </c>
      <c r="C94" s="73">
        <v>0.01</v>
      </c>
      <c r="D94" s="74">
        <v>1570</v>
      </c>
      <c r="E94" s="74">
        <v>1110</v>
      </c>
      <c r="F94" s="74">
        <v>450</v>
      </c>
      <c r="G94" s="74">
        <v>15</v>
      </c>
      <c r="H94" s="73">
        <v>0.71</v>
      </c>
      <c r="I94" s="73">
        <v>0.28999999999999998</v>
      </c>
      <c r="J94" s="73">
        <v>0.01</v>
      </c>
    </row>
    <row r="95" spans="1:10" x14ac:dyDescent="0.25">
      <c r="A95" s="67" t="s">
        <v>148</v>
      </c>
      <c r="B95" s="74">
        <v>810</v>
      </c>
      <c r="C95" s="73">
        <v>0.01</v>
      </c>
      <c r="D95" s="74">
        <v>900</v>
      </c>
      <c r="E95" s="74">
        <v>630</v>
      </c>
      <c r="F95" s="74">
        <v>230</v>
      </c>
      <c r="G95" s="74">
        <v>45</v>
      </c>
      <c r="H95" s="73">
        <v>0.7</v>
      </c>
      <c r="I95" s="73">
        <v>0.25</v>
      </c>
      <c r="J95" s="73">
        <v>0.05</v>
      </c>
    </row>
    <row r="96" spans="1:10" x14ac:dyDescent="0.25">
      <c r="A96" s="67" t="s">
        <v>241</v>
      </c>
      <c r="B96" s="74">
        <v>4340</v>
      </c>
      <c r="C96" s="73">
        <v>0.01</v>
      </c>
      <c r="D96" s="74">
        <v>4215</v>
      </c>
      <c r="E96" s="74">
        <v>2945</v>
      </c>
      <c r="F96" s="74">
        <v>1145</v>
      </c>
      <c r="G96" s="74">
        <v>125</v>
      </c>
      <c r="H96" s="73">
        <v>0.7</v>
      </c>
      <c r="I96" s="73">
        <v>0.27</v>
      </c>
      <c r="J96" s="73">
        <v>0.03</v>
      </c>
    </row>
    <row r="97" spans="1:10" x14ac:dyDescent="0.25">
      <c r="A97" s="67" t="s">
        <v>149</v>
      </c>
      <c r="B97" s="74">
        <v>55</v>
      </c>
      <c r="C97" s="73">
        <v>0</v>
      </c>
      <c r="D97" s="74">
        <v>55</v>
      </c>
      <c r="E97" s="74">
        <v>30</v>
      </c>
      <c r="F97" s="74">
        <v>20</v>
      </c>
      <c r="G97" s="74">
        <v>0</v>
      </c>
      <c r="H97" s="73">
        <v>0.6</v>
      </c>
      <c r="I97" s="73">
        <v>0.4</v>
      </c>
      <c r="J97" s="73">
        <v>0</v>
      </c>
    </row>
    <row r="98" spans="1:10" x14ac:dyDescent="0.25">
      <c r="A98" s="67" t="s">
        <v>150</v>
      </c>
      <c r="B98" s="74">
        <v>345</v>
      </c>
      <c r="C98" s="73">
        <v>0</v>
      </c>
      <c r="D98" s="74">
        <v>330</v>
      </c>
      <c r="E98" s="74">
        <v>220</v>
      </c>
      <c r="F98" s="74">
        <v>100</v>
      </c>
      <c r="G98" s="74">
        <v>10</v>
      </c>
      <c r="H98" s="73">
        <v>0.67</v>
      </c>
      <c r="I98" s="73">
        <v>0.3</v>
      </c>
      <c r="J98" s="73">
        <v>0.02</v>
      </c>
    </row>
    <row r="99" spans="1:10" x14ac:dyDescent="0.25">
      <c r="A99" s="67" t="s">
        <v>151</v>
      </c>
      <c r="B99" s="74">
        <v>370</v>
      </c>
      <c r="C99" s="73">
        <v>0</v>
      </c>
      <c r="D99" s="74">
        <v>350</v>
      </c>
      <c r="E99" s="74">
        <v>230</v>
      </c>
      <c r="F99" s="74">
        <v>115</v>
      </c>
      <c r="G99" s="74">
        <v>10</v>
      </c>
      <c r="H99" s="73">
        <v>0.65</v>
      </c>
      <c r="I99" s="73">
        <v>0.32</v>
      </c>
      <c r="J99" s="73">
        <v>0.02</v>
      </c>
    </row>
    <row r="100" spans="1:10" x14ac:dyDescent="0.25">
      <c r="A100" s="67" t="s">
        <v>152</v>
      </c>
      <c r="B100" s="74">
        <v>150</v>
      </c>
      <c r="C100" s="73">
        <v>0</v>
      </c>
      <c r="D100" s="74">
        <v>170</v>
      </c>
      <c r="E100" s="74">
        <v>115</v>
      </c>
      <c r="F100" s="74">
        <v>45</v>
      </c>
      <c r="G100" s="74">
        <v>10</v>
      </c>
      <c r="H100" s="73">
        <v>0.68</v>
      </c>
      <c r="I100" s="73">
        <v>0.27</v>
      </c>
      <c r="J100" s="73">
        <v>0.05</v>
      </c>
    </row>
    <row r="101" spans="1:10" x14ac:dyDescent="0.25">
      <c r="A101" s="67" t="s">
        <v>242</v>
      </c>
      <c r="B101" s="74">
        <v>925</v>
      </c>
      <c r="C101" s="73">
        <v>0</v>
      </c>
      <c r="D101" s="74">
        <v>900</v>
      </c>
      <c r="E101" s="74">
        <v>595</v>
      </c>
      <c r="F101" s="74">
        <v>280</v>
      </c>
      <c r="G101" s="74">
        <v>25</v>
      </c>
      <c r="H101" s="73">
        <v>0.66</v>
      </c>
      <c r="I101" s="73">
        <v>0.31</v>
      </c>
      <c r="J101" s="73">
        <v>0.03</v>
      </c>
    </row>
    <row r="102" spans="1:10" x14ac:dyDescent="0.25">
      <c r="A102" s="67" t="s">
        <v>153</v>
      </c>
      <c r="B102" s="74">
        <v>45</v>
      </c>
      <c r="C102" s="73">
        <v>0</v>
      </c>
      <c r="D102" s="74">
        <v>40</v>
      </c>
      <c r="E102" s="74" t="s">
        <v>449</v>
      </c>
      <c r="F102" s="74">
        <v>5</v>
      </c>
      <c r="G102" s="74">
        <v>30</v>
      </c>
      <c r="H102" s="73" t="s">
        <v>449</v>
      </c>
      <c r="I102" s="73" t="s">
        <v>449</v>
      </c>
      <c r="J102" s="73">
        <v>0.84</v>
      </c>
    </row>
    <row r="103" spans="1:10" x14ac:dyDescent="0.25">
      <c r="A103" s="67" t="s">
        <v>154</v>
      </c>
      <c r="B103" s="74">
        <v>160</v>
      </c>
      <c r="C103" s="73">
        <v>0</v>
      </c>
      <c r="D103" s="74">
        <v>145</v>
      </c>
      <c r="E103" s="74">
        <v>10</v>
      </c>
      <c r="F103" s="74">
        <v>5</v>
      </c>
      <c r="G103" s="74">
        <v>130</v>
      </c>
      <c r="H103" s="73">
        <v>0.06</v>
      </c>
      <c r="I103" s="73">
        <v>0.04</v>
      </c>
      <c r="J103" s="73">
        <v>0.9</v>
      </c>
    </row>
    <row r="104" spans="1:10" x14ac:dyDescent="0.25">
      <c r="A104" s="67" t="s">
        <v>155</v>
      </c>
      <c r="B104" s="74">
        <v>130</v>
      </c>
      <c r="C104" s="73">
        <v>0</v>
      </c>
      <c r="D104" s="74">
        <v>70</v>
      </c>
      <c r="E104" s="74">
        <v>15</v>
      </c>
      <c r="F104" s="74">
        <v>5</v>
      </c>
      <c r="G104" s="74">
        <v>50</v>
      </c>
      <c r="H104" s="73">
        <v>0.2</v>
      </c>
      <c r="I104" s="73">
        <v>0.06</v>
      </c>
      <c r="J104" s="73">
        <v>0.74</v>
      </c>
    </row>
    <row r="105" spans="1:10" x14ac:dyDescent="0.25">
      <c r="A105" s="67" t="s">
        <v>156</v>
      </c>
      <c r="B105" s="74">
        <v>215</v>
      </c>
      <c r="C105" s="73">
        <v>0</v>
      </c>
      <c r="D105" s="74">
        <v>60</v>
      </c>
      <c r="E105" s="74">
        <v>10</v>
      </c>
      <c r="F105" s="74" t="s">
        <v>449</v>
      </c>
      <c r="G105" s="74">
        <v>45</v>
      </c>
      <c r="H105" s="73" t="s">
        <v>449</v>
      </c>
      <c r="I105" s="73" t="s">
        <v>449</v>
      </c>
      <c r="J105" s="73">
        <v>0.78</v>
      </c>
    </row>
    <row r="106" spans="1:10" x14ac:dyDescent="0.25">
      <c r="A106" s="67" t="s">
        <v>243</v>
      </c>
      <c r="B106" s="74">
        <v>555</v>
      </c>
      <c r="C106" s="73">
        <v>0</v>
      </c>
      <c r="D106" s="74">
        <v>310</v>
      </c>
      <c r="E106" s="74">
        <v>35</v>
      </c>
      <c r="F106" s="74">
        <v>15</v>
      </c>
      <c r="G106" s="74">
        <v>260</v>
      </c>
      <c r="H106" s="73">
        <v>0.12</v>
      </c>
      <c r="I106" s="73">
        <v>0.05</v>
      </c>
      <c r="J106" s="73">
        <v>0.83</v>
      </c>
    </row>
    <row r="107" spans="1:10" x14ac:dyDescent="0.25">
      <c r="A107" s="67" t="s">
        <v>218</v>
      </c>
      <c r="B107" s="74">
        <v>1915</v>
      </c>
      <c r="C107" s="73">
        <v>0.1</v>
      </c>
      <c r="D107" s="74">
        <v>1875</v>
      </c>
      <c r="E107" s="74">
        <v>25</v>
      </c>
      <c r="F107" s="74">
        <v>1845</v>
      </c>
      <c r="G107" s="74">
        <v>5</v>
      </c>
      <c r="H107" s="73">
        <v>0.01</v>
      </c>
      <c r="I107" s="73">
        <v>0.98</v>
      </c>
      <c r="J107" s="73">
        <v>0</v>
      </c>
    </row>
    <row r="108" spans="1:10" x14ac:dyDescent="0.25">
      <c r="A108" s="67" t="s">
        <v>219</v>
      </c>
      <c r="B108" s="74">
        <v>6345</v>
      </c>
      <c r="C108" s="73">
        <v>0.05</v>
      </c>
      <c r="D108" s="74">
        <v>6285</v>
      </c>
      <c r="E108" s="74">
        <v>145</v>
      </c>
      <c r="F108" s="74">
        <v>6025</v>
      </c>
      <c r="G108" s="74">
        <v>110</v>
      </c>
      <c r="H108" s="73">
        <v>0.02</v>
      </c>
      <c r="I108" s="73">
        <v>0.96</v>
      </c>
      <c r="J108" s="73">
        <v>0.02</v>
      </c>
    </row>
    <row r="109" spans="1:10" x14ac:dyDescent="0.25">
      <c r="A109" s="67" t="s">
        <v>220</v>
      </c>
      <c r="B109" s="74">
        <v>2070</v>
      </c>
      <c r="C109" s="73">
        <v>0.02</v>
      </c>
      <c r="D109" s="74">
        <v>2105</v>
      </c>
      <c r="E109" s="74">
        <v>200</v>
      </c>
      <c r="F109" s="74">
        <v>1895</v>
      </c>
      <c r="G109" s="74">
        <v>10</v>
      </c>
      <c r="H109" s="73">
        <v>0.1</v>
      </c>
      <c r="I109" s="73">
        <v>0.9</v>
      </c>
      <c r="J109" s="73">
        <v>0</v>
      </c>
    </row>
    <row r="110" spans="1:10" x14ac:dyDescent="0.25">
      <c r="A110" s="67" t="s">
        <v>221</v>
      </c>
      <c r="B110" s="74">
        <v>200</v>
      </c>
      <c r="C110" s="73">
        <v>0</v>
      </c>
      <c r="D110" s="74">
        <v>260</v>
      </c>
      <c r="E110" s="74">
        <v>95</v>
      </c>
      <c r="F110" s="74">
        <v>140</v>
      </c>
      <c r="G110" s="74">
        <v>25</v>
      </c>
      <c r="H110" s="73">
        <v>0.37</v>
      </c>
      <c r="I110" s="73">
        <v>0.54</v>
      </c>
      <c r="J110" s="73">
        <v>0.09</v>
      </c>
    </row>
    <row r="111" spans="1:10" x14ac:dyDescent="0.25">
      <c r="A111" s="67" t="s">
        <v>257</v>
      </c>
      <c r="B111" s="74">
        <v>10530</v>
      </c>
      <c r="C111" s="73">
        <v>0.03</v>
      </c>
      <c r="D111" s="74">
        <v>10520</v>
      </c>
      <c r="E111" s="74">
        <v>470</v>
      </c>
      <c r="F111" s="74">
        <v>9900</v>
      </c>
      <c r="G111" s="74">
        <v>150</v>
      </c>
      <c r="H111" s="73">
        <v>0.04</v>
      </c>
      <c r="I111" s="73">
        <v>0.94</v>
      </c>
      <c r="J111" s="73">
        <v>0.01</v>
      </c>
    </row>
    <row r="112" spans="1:10" x14ac:dyDescent="0.25">
      <c r="A112" s="67" t="s">
        <v>157</v>
      </c>
      <c r="B112" s="74">
        <v>515</v>
      </c>
      <c r="C112" s="73">
        <v>0.03</v>
      </c>
      <c r="D112" s="74">
        <v>475</v>
      </c>
      <c r="E112" s="74">
        <v>365</v>
      </c>
      <c r="F112" s="74">
        <v>100</v>
      </c>
      <c r="G112" s="74">
        <v>10</v>
      </c>
      <c r="H112" s="73">
        <v>0.77</v>
      </c>
      <c r="I112" s="73">
        <v>0.22</v>
      </c>
      <c r="J112" s="73">
        <v>0.02</v>
      </c>
    </row>
    <row r="113" spans="1:10" x14ac:dyDescent="0.25">
      <c r="A113" s="67" t="s">
        <v>158</v>
      </c>
      <c r="B113" s="74">
        <v>4460</v>
      </c>
      <c r="C113" s="73">
        <v>0.03</v>
      </c>
      <c r="D113" s="74">
        <v>4205</v>
      </c>
      <c r="E113" s="74">
        <v>2985</v>
      </c>
      <c r="F113" s="74">
        <v>1035</v>
      </c>
      <c r="G113" s="74">
        <v>190</v>
      </c>
      <c r="H113" s="73">
        <v>0.71</v>
      </c>
      <c r="I113" s="73">
        <v>0.25</v>
      </c>
      <c r="J113" s="73">
        <v>0.04</v>
      </c>
    </row>
    <row r="114" spans="1:10" x14ac:dyDescent="0.25">
      <c r="A114" s="67" t="s">
        <v>159</v>
      </c>
      <c r="B114" s="74">
        <v>3745</v>
      </c>
      <c r="C114" s="73">
        <v>0.03</v>
      </c>
      <c r="D114" s="74">
        <v>3595</v>
      </c>
      <c r="E114" s="74">
        <v>2575</v>
      </c>
      <c r="F114" s="74">
        <v>970</v>
      </c>
      <c r="G114" s="74">
        <v>55</v>
      </c>
      <c r="H114" s="73">
        <v>0.72</v>
      </c>
      <c r="I114" s="73">
        <v>0.27</v>
      </c>
      <c r="J114" s="73">
        <v>0.02</v>
      </c>
    </row>
    <row r="115" spans="1:10" x14ac:dyDescent="0.25">
      <c r="A115" s="67" t="s">
        <v>160</v>
      </c>
      <c r="B115" s="74">
        <v>1935</v>
      </c>
      <c r="C115" s="73">
        <v>0.03</v>
      </c>
      <c r="D115" s="74">
        <v>2115</v>
      </c>
      <c r="E115" s="74">
        <v>1520</v>
      </c>
      <c r="F115" s="74">
        <v>425</v>
      </c>
      <c r="G115" s="74">
        <v>170</v>
      </c>
      <c r="H115" s="73">
        <v>0.72</v>
      </c>
      <c r="I115" s="73">
        <v>0.2</v>
      </c>
      <c r="J115" s="73">
        <v>0.08</v>
      </c>
    </row>
    <row r="116" spans="1:10" x14ac:dyDescent="0.25">
      <c r="A116" s="67" t="s">
        <v>244</v>
      </c>
      <c r="B116" s="74">
        <v>10655</v>
      </c>
      <c r="C116" s="73">
        <v>0.03</v>
      </c>
      <c r="D116" s="74">
        <v>10395</v>
      </c>
      <c r="E116" s="74">
        <v>7440</v>
      </c>
      <c r="F116" s="74">
        <v>2530</v>
      </c>
      <c r="G116" s="74">
        <v>420</v>
      </c>
      <c r="H116" s="73">
        <v>0.72</v>
      </c>
      <c r="I116" s="73">
        <v>0.24</v>
      </c>
      <c r="J116" s="73">
        <v>0.04</v>
      </c>
    </row>
    <row r="117" spans="1:10" x14ac:dyDescent="0.25">
      <c r="A117" s="67" t="s">
        <v>161</v>
      </c>
      <c r="B117" s="74">
        <v>1445</v>
      </c>
      <c r="C117" s="73">
        <v>7.0000000000000007E-2</v>
      </c>
      <c r="D117" s="74">
        <v>1310</v>
      </c>
      <c r="E117" s="74">
        <v>960</v>
      </c>
      <c r="F117" s="74">
        <v>330</v>
      </c>
      <c r="G117" s="74">
        <v>20</v>
      </c>
      <c r="H117" s="73">
        <v>0.73</v>
      </c>
      <c r="I117" s="73">
        <v>0.25</v>
      </c>
      <c r="J117" s="73">
        <v>0.01</v>
      </c>
    </row>
    <row r="118" spans="1:10" x14ac:dyDescent="0.25">
      <c r="A118" s="67" t="s">
        <v>162</v>
      </c>
      <c r="B118" s="74">
        <v>9875</v>
      </c>
      <c r="C118" s="73">
        <v>0.08</v>
      </c>
      <c r="D118" s="74">
        <v>9365</v>
      </c>
      <c r="E118" s="74">
        <v>6505</v>
      </c>
      <c r="F118" s="74">
        <v>2465</v>
      </c>
      <c r="G118" s="74">
        <v>400</v>
      </c>
      <c r="H118" s="73">
        <v>0.69</v>
      </c>
      <c r="I118" s="73">
        <v>0.26</v>
      </c>
      <c r="J118" s="73">
        <v>0.04</v>
      </c>
    </row>
    <row r="119" spans="1:10" x14ac:dyDescent="0.25">
      <c r="A119" s="67" t="s">
        <v>163</v>
      </c>
      <c r="B119" s="74">
        <v>9405</v>
      </c>
      <c r="C119" s="73">
        <v>0.08</v>
      </c>
      <c r="D119" s="74">
        <v>8930</v>
      </c>
      <c r="E119" s="74">
        <v>6170</v>
      </c>
      <c r="F119" s="74">
        <v>2585</v>
      </c>
      <c r="G119" s="74">
        <v>175</v>
      </c>
      <c r="H119" s="73">
        <v>0.69</v>
      </c>
      <c r="I119" s="73">
        <v>0.28999999999999998</v>
      </c>
      <c r="J119" s="73">
        <v>0.02</v>
      </c>
    </row>
    <row r="120" spans="1:10" x14ac:dyDescent="0.25">
      <c r="A120" s="67" t="s">
        <v>164</v>
      </c>
      <c r="B120" s="74">
        <v>4385</v>
      </c>
      <c r="C120" s="73">
        <v>0.08</v>
      </c>
      <c r="D120" s="74">
        <v>4955</v>
      </c>
      <c r="E120" s="74">
        <v>3540</v>
      </c>
      <c r="F120" s="74">
        <v>1110</v>
      </c>
      <c r="G120" s="74">
        <v>300</v>
      </c>
      <c r="H120" s="73">
        <v>0.71</v>
      </c>
      <c r="I120" s="73">
        <v>0.22</v>
      </c>
      <c r="J120" s="73">
        <v>0.06</v>
      </c>
    </row>
    <row r="121" spans="1:10" x14ac:dyDescent="0.25">
      <c r="A121" s="67" t="s">
        <v>245</v>
      </c>
      <c r="B121" s="74">
        <v>25105</v>
      </c>
      <c r="C121" s="73">
        <v>0.08</v>
      </c>
      <c r="D121" s="74">
        <v>24555</v>
      </c>
      <c r="E121" s="74">
        <v>17175</v>
      </c>
      <c r="F121" s="74">
        <v>6490</v>
      </c>
      <c r="G121" s="74">
        <v>890</v>
      </c>
      <c r="H121" s="73">
        <v>0.7</v>
      </c>
      <c r="I121" s="73">
        <v>0.26</v>
      </c>
      <c r="J121" s="73">
        <v>0.04</v>
      </c>
    </row>
    <row r="122" spans="1:10" x14ac:dyDescent="0.25">
      <c r="A122" s="67" t="s">
        <v>165</v>
      </c>
      <c r="B122" s="74">
        <v>60</v>
      </c>
      <c r="C122" s="73">
        <v>0</v>
      </c>
      <c r="D122" s="74">
        <v>55</v>
      </c>
      <c r="E122" s="74">
        <v>30</v>
      </c>
      <c r="F122" s="74">
        <v>25</v>
      </c>
      <c r="G122" s="74">
        <v>0</v>
      </c>
      <c r="H122" s="73">
        <v>0.52</v>
      </c>
      <c r="I122" s="73">
        <v>0.48</v>
      </c>
      <c r="J122" s="73">
        <v>0</v>
      </c>
    </row>
    <row r="123" spans="1:10" x14ac:dyDescent="0.25">
      <c r="A123" s="67" t="s">
        <v>166</v>
      </c>
      <c r="B123" s="74">
        <v>220</v>
      </c>
      <c r="C123" s="73">
        <v>0</v>
      </c>
      <c r="D123" s="74">
        <v>205</v>
      </c>
      <c r="E123" s="74">
        <v>140</v>
      </c>
      <c r="F123" s="74">
        <v>55</v>
      </c>
      <c r="G123" s="74">
        <v>10</v>
      </c>
      <c r="H123" s="73">
        <v>0.69</v>
      </c>
      <c r="I123" s="73">
        <v>0.27</v>
      </c>
      <c r="J123" s="73">
        <v>0.04</v>
      </c>
    </row>
    <row r="124" spans="1:10" x14ac:dyDescent="0.25">
      <c r="A124" s="67" t="s">
        <v>167</v>
      </c>
      <c r="B124" s="74">
        <v>280</v>
      </c>
      <c r="C124" s="73">
        <v>0</v>
      </c>
      <c r="D124" s="74">
        <v>265</v>
      </c>
      <c r="E124" s="74">
        <v>175</v>
      </c>
      <c r="F124" s="74">
        <v>85</v>
      </c>
      <c r="G124" s="74">
        <v>5</v>
      </c>
      <c r="H124" s="73">
        <v>0.66</v>
      </c>
      <c r="I124" s="73">
        <v>0.33</v>
      </c>
      <c r="J124" s="73">
        <v>0.01</v>
      </c>
    </row>
    <row r="125" spans="1:10" x14ac:dyDescent="0.25">
      <c r="A125" s="67" t="s">
        <v>168</v>
      </c>
      <c r="B125" s="74">
        <v>100</v>
      </c>
      <c r="C125" s="73">
        <v>0</v>
      </c>
      <c r="D125" s="74">
        <v>120</v>
      </c>
      <c r="E125" s="74">
        <v>70</v>
      </c>
      <c r="F125" s="74">
        <v>40</v>
      </c>
      <c r="G125" s="74">
        <v>5</v>
      </c>
      <c r="H125" s="73">
        <v>0.6</v>
      </c>
      <c r="I125" s="73">
        <v>0.34</v>
      </c>
      <c r="J125" s="73">
        <v>0.06</v>
      </c>
    </row>
    <row r="126" spans="1:10" x14ac:dyDescent="0.25">
      <c r="A126" s="67" t="s">
        <v>246</v>
      </c>
      <c r="B126" s="74">
        <v>660</v>
      </c>
      <c r="C126" s="73">
        <v>0</v>
      </c>
      <c r="D126" s="74">
        <v>645</v>
      </c>
      <c r="E126" s="74">
        <v>415</v>
      </c>
      <c r="F126" s="74">
        <v>210</v>
      </c>
      <c r="G126" s="74">
        <v>20</v>
      </c>
      <c r="H126" s="73">
        <v>0.65</v>
      </c>
      <c r="I126" s="73">
        <v>0.32</v>
      </c>
      <c r="J126" s="73">
        <v>0.03</v>
      </c>
    </row>
    <row r="127" spans="1:10" x14ac:dyDescent="0.25">
      <c r="A127" s="67" t="s">
        <v>169</v>
      </c>
      <c r="B127" s="74">
        <v>410</v>
      </c>
      <c r="C127" s="73">
        <v>0.02</v>
      </c>
      <c r="D127" s="74">
        <v>375</v>
      </c>
      <c r="E127" s="74">
        <v>250</v>
      </c>
      <c r="F127" s="74">
        <v>120</v>
      </c>
      <c r="G127" s="74">
        <v>5</v>
      </c>
      <c r="H127" s="73">
        <v>0.67</v>
      </c>
      <c r="I127" s="73">
        <v>0.32</v>
      </c>
      <c r="J127" s="73">
        <v>0.01</v>
      </c>
    </row>
    <row r="128" spans="1:10" x14ac:dyDescent="0.25">
      <c r="A128" s="67" t="s">
        <v>170</v>
      </c>
      <c r="B128" s="74">
        <v>2230</v>
      </c>
      <c r="C128" s="73">
        <v>0.02</v>
      </c>
      <c r="D128" s="74">
        <v>2105</v>
      </c>
      <c r="E128" s="74">
        <v>1475</v>
      </c>
      <c r="F128" s="74">
        <v>545</v>
      </c>
      <c r="G128" s="74">
        <v>85</v>
      </c>
      <c r="H128" s="73">
        <v>0.7</v>
      </c>
      <c r="I128" s="73">
        <v>0.26</v>
      </c>
      <c r="J128" s="73">
        <v>0.04</v>
      </c>
    </row>
    <row r="129" spans="1:10" x14ac:dyDescent="0.25">
      <c r="A129" s="67" t="s">
        <v>171</v>
      </c>
      <c r="B129" s="74">
        <v>2470</v>
      </c>
      <c r="C129" s="73">
        <v>0.02</v>
      </c>
      <c r="D129" s="74">
        <v>2260</v>
      </c>
      <c r="E129" s="74">
        <v>1600</v>
      </c>
      <c r="F129" s="74">
        <v>635</v>
      </c>
      <c r="G129" s="74">
        <v>30</v>
      </c>
      <c r="H129" s="73">
        <v>0.71</v>
      </c>
      <c r="I129" s="73">
        <v>0.28000000000000003</v>
      </c>
      <c r="J129" s="73">
        <v>0.01</v>
      </c>
    </row>
    <row r="130" spans="1:10" x14ac:dyDescent="0.25">
      <c r="A130" s="67" t="s">
        <v>172</v>
      </c>
      <c r="B130" s="74">
        <v>1155</v>
      </c>
      <c r="C130" s="73">
        <v>0.02</v>
      </c>
      <c r="D130" s="74">
        <v>1340</v>
      </c>
      <c r="E130" s="74">
        <v>945</v>
      </c>
      <c r="F130" s="74">
        <v>330</v>
      </c>
      <c r="G130" s="74">
        <v>65</v>
      </c>
      <c r="H130" s="73">
        <v>0.71</v>
      </c>
      <c r="I130" s="73">
        <v>0.25</v>
      </c>
      <c r="J130" s="73">
        <v>0.05</v>
      </c>
    </row>
    <row r="131" spans="1:10" x14ac:dyDescent="0.25">
      <c r="A131" s="67" t="s">
        <v>247</v>
      </c>
      <c r="B131" s="74">
        <v>6265</v>
      </c>
      <c r="C131" s="73">
        <v>0.02</v>
      </c>
      <c r="D131" s="74">
        <v>6080</v>
      </c>
      <c r="E131" s="74">
        <v>4270</v>
      </c>
      <c r="F131" s="74">
        <v>1625</v>
      </c>
      <c r="G131" s="74">
        <v>185</v>
      </c>
      <c r="H131" s="73">
        <v>0.7</v>
      </c>
      <c r="I131" s="73">
        <v>0.27</v>
      </c>
      <c r="J131" s="73">
        <v>0.03</v>
      </c>
    </row>
    <row r="132" spans="1:10" x14ac:dyDescent="0.25">
      <c r="A132" s="67" t="s">
        <v>173</v>
      </c>
      <c r="B132" s="74">
        <v>640</v>
      </c>
      <c r="C132" s="73">
        <v>0.03</v>
      </c>
      <c r="D132" s="74">
        <v>595</v>
      </c>
      <c r="E132" s="74">
        <v>435</v>
      </c>
      <c r="F132" s="74">
        <v>150</v>
      </c>
      <c r="G132" s="74">
        <v>10</v>
      </c>
      <c r="H132" s="73">
        <v>0.73</v>
      </c>
      <c r="I132" s="73">
        <v>0.25</v>
      </c>
      <c r="J132" s="73">
        <v>0.01</v>
      </c>
    </row>
    <row r="133" spans="1:10" x14ac:dyDescent="0.25">
      <c r="A133" s="67" t="s">
        <v>174</v>
      </c>
      <c r="B133" s="74">
        <v>4165</v>
      </c>
      <c r="C133" s="73">
        <v>0.03</v>
      </c>
      <c r="D133" s="74">
        <v>3960</v>
      </c>
      <c r="E133" s="74">
        <v>2715</v>
      </c>
      <c r="F133" s="74">
        <v>1080</v>
      </c>
      <c r="G133" s="74">
        <v>165</v>
      </c>
      <c r="H133" s="73">
        <v>0.69</v>
      </c>
      <c r="I133" s="73">
        <v>0.27</v>
      </c>
      <c r="J133" s="73">
        <v>0.04</v>
      </c>
    </row>
    <row r="134" spans="1:10" x14ac:dyDescent="0.25">
      <c r="A134" s="67" t="s">
        <v>175</v>
      </c>
      <c r="B134" s="74">
        <v>3845</v>
      </c>
      <c r="C134" s="73">
        <v>0.03</v>
      </c>
      <c r="D134" s="74">
        <v>3590</v>
      </c>
      <c r="E134" s="74">
        <v>2505</v>
      </c>
      <c r="F134" s="74">
        <v>990</v>
      </c>
      <c r="G134" s="74">
        <v>95</v>
      </c>
      <c r="H134" s="73">
        <v>0.7</v>
      </c>
      <c r="I134" s="73">
        <v>0.28000000000000003</v>
      </c>
      <c r="J134" s="73">
        <v>0.03</v>
      </c>
    </row>
    <row r="135" spans="1:10" x14ac:dyDescent="0.25">
      <c r="A135" s="67" t="s">
        <v>176</v>
      </c>
      <c r="B135" s="74">
        <v>1755</v>
      </c>
      <c r="C135" s="73">
        <v>0.03</v>
      </c>
      <c r="D135" s="74">
        <v>2025</v>
      </c>
      <c r="E135" s="74">
        <v>1415</v>
      </c>
      <c r="F135" s="74">
        <v>505</v>
      </c>
      <c r="G135" s="74">
        <v>105</v>
      </c>
      <c r="H135" s="73">
        <v>0.7</v>
      </c>
      <c r="I135" s="73">
        <v>0.25</v>
      </c>
      <c r="J135" s="73">
        <v>0.05</v>
      </c>
    </row>
    <row r="136" spans="1:10" x14ac:dyDescent="0.25">
      <c r="A136" s="67" t="s">
        <v>248</v>
      </c>
      <c r="B136" s="74">
        <v>10405</v>
      </c>
      <c r="C136" s="73">
        <v>0.03</v>
      </c>
      <c r="D136" s="74">
        <v>10170</v>
      </c>
      <c r="E136" s="74">
        <v>7070</v>
      </c>
      <c r="F136" s="74">
        <v>2725</v>
      </c>
      <c r="G136" s="74">
        <v>375</v>
      </c>
      <c r="H136" s="73">
        <v>0.7</v>
      </c>
      <c r="I136" s="73">
        <v>0.27</v>
      </c>
      <c r="J136" s="73">
        <v>0.04</v>
      </c>
    </row>
    <row r="137" spans="1:10" x14ac:dyDescent="0.25">
      <c r="A137" s="67" t="s">
        <v>177</v>
      </c>
      <c r="B137" s="74">
        <v>295</v>
      </c>
      <c r="C137" s="73">
        <v>0.02</v>
      </c>
      <c r="D137" s="74">
        <v>280</v>
      </c>
      <c r="E137" s="74">
        <v>205</v>
      </c>
      <c r="F137" s="74">
        <v>65</v>
      </c>
      <c r="G137" s="74">
        <v>10</v>
      </c>
      <c r="H137" s="73">
        <v>0.73</v>
      </c>
      <c r="I137" s="73">
        <v>0.23</v>
      </c>
      <c r="J137" s="73">
        <v>0.04</v>
      </c>
    </row>
    <row r="138" spans="1:10" x14ac:dyDescent="0.25">
      <c r="A138" s="67" t="s">
        <v>178</v>
      </c>
      <c r="B138" s="74">
        <v>1850</v>
      </c>
      <c r="C138" s="73">
        <v>0.01</v>
      </c>
      <c r="D138" s="74">
        <v>1710</v>
      </c>
      <c r="E138" s="74">
        <v>1255</v>
      </c>
      <c r="F138" s="74">
        <v>390</v>
      </c>
      <c r="G138" s="74">
        <v>65</v>
      </c>
      <c r="H138" s="73">
        <v>0.73</v>
      </c>
      <c r="I138" s="73">
        <v>0.23</v>
      </c>
      <c r="J138" s="73">
        <v>0.04</v>
      </c>
    </row>
    <row r="139" spans="1:10" x14ac:dyDescent="0.25">
      <c r="A139" s="67" t="s">
        <v>179</v>
      </c>
      <c r="B139" s="74">
        <v>2020</v>
      </c>
      <c r="C139" s="73">
        <v>0.02</v>
      </c>
      <c r="D139" s="74">
        <v>1930</v>
      </c>
      <c r="E139" s="74">
        <v>1355</v>
      </c>
      <c r="F139" s="74">
        <v>540</v>
      </c>
      <c r="G139" s="74">
        <v>35</v>
      </c>
      <c r="H139" s="73">
        <v>0.7</v>
      </c>
      <c r="I139" s="73">
        <v>0.28000000000000003</v>
      </c>
      <c r="J139" s="73">
        <v>0.02</v>
      </c>
    </row>
    <row r="140" spans="1:10" x14ac:dyDescent="0.25">
      <c r="A140" s="67" t="s">
        <v>180</v>
      </c>
      <c r="B140" s="74">
        <v>1010</v>
      </c>
      <c r="C140" s="73">
        <v>0.02</v>
      </c>
      <c r="D140" s="74">
        <v>1095</v>
      </c>
      <c r="E140" s="74">
        <v>785</v>
      </c>
      <c r="F140" s="74">
        <v>260</v>
      </c>
      <c r="G140" s="74">
        <v>50</v>
      </c>
      <c r="H140" s="73">
        <v>0.72</v>
      </c>
      <c r="I140" s="73">
        <v>0.24</v>
      </c>
      <c r="J140" s="73">
        <v>0.04</v>
      </c>
    </row>
    <row r="141" spans="1:10" x14ac:dyDescent="0.25">
      <c r="A141" s="67" t="s">
        <v>249</v>
      </c>
      <c r="B141" s="74">
        <v>5175</v>
      </c>
      <c r="C141" s="73">
        <v>0.02</v>
      </c>
      <c r="D141" s="74">
        <v>5015</v>
      </c>
      <c r="E141" s="74">
        <v>3600</v>
      </c>
      <c r="F141" s="74">
        <v>1255</v>
      </c>
      <c r="G141" s="74">
        <v>155</v>
      </c>
      <c r="H141" s="73">
        <v>0.72</v>
      </c>
      <c r="I141" s="73">
        <v>0.25</v>
      </c>
      <c r="J141" s="73">
        <v>0.03</v>
      </c>
    </row>
    <row r="142" spans="1:10" x14ac:dyDescent="0.25">
      <c r="A142" s="67" t="s">
        <v>181</v>
      </c>
      <c r="B142" s="74">
        <v>35</v>
      </c>
      <c r="C142" s="73">
        <v>0</v>
      </c>
      <c r="D142" s="74">
        <v>30</v>
      </c>
      <c r="E142" s="74">
        <v>25</v>
      </c>
      <c r="F142" s="74" t="s">
        <v>449</v>
      </c>
      <c r="G142" s="74" t="s">
        <v>449</v>
      </c>
      <c r="H142" s="73">
        <v>0.74</v>
      </c>
      <c r="I142" s="73" t="s">
        <v>449</v>
      </c>
      <c r="J142" s="73" t="s">
        <v>449</v>
      </c>
    </row>
    <row r="143" spans="1:10" x14ac:dyDescent="0.25">
      <c r="A143" s="67" t="s">
        <v>182</v>
      </c>
      <c r="B143" s="74">
        <v>245</v>
      </c>
      <c r="C143" s="73">
        <v>0</v>
      </c>
      <c r="D143" s="74">
        <v>230</v>
      </c>
      <c r="E143" s="74">
        <v>150</v>
      </c>
      <c r="F143" s="74">
        <v>70</v>
      </c>
      <c r="G143" s="74">
        <v>10</v>
      </c>
      <c r="H143" s="73">
        <v>0.66</v>
      </c>
      <c r="I143" s="73">
        <v>0.3</v>
      </c>
      <c r="J143" s="73">
        <v>0.04</v>
      </c>
    </row>
    <row r="144" spans="1:10" x14ac:dyDescent="0.25">
      <c r="A144" s="67" t="s">
        <v>183</v>
      </c>
      <c r="B144" s="74">
        <v>235</v>
      </c>
      <c r="C144" s="73">
        <v>0</v>
      </c>
      <c r="D144" s="74">
        <v>225</v>
      </c>
      <c r="E144" s="74">
        <v>160</v>
      </c>
      <c r="F144" s="74">
        <v>65</v>
      </c>
      <c r="G144" s="74">
        <v>5</v>
      </c>
      <c r="H144" s="73">
        <v>0.7</v>
      </c>
      <c r="I144" s="73">
        <v>0.28000000000000003</v>
      </c>
      <c r="J144" s="73">
        <v>0.02</v>
      </c>
    </row>
    <row r="145" spans="1:10" x14ac:dyDescent="0.25">
      <c r="A145" s="67" t="s">
        <v>184</v>
      </c>
      <c r="B145" s="74">
        <v>115</v>
      </c>
      <c r="C145" s="73">
        <v>0</v>
      </c>
      <c r="D145" s="74">
        <v>125</v>
      </c>
      <c r="E145" s="74">
        <v>80</v>
      </c>
      <c r="F145" s="74">
        <v>40</v>
      </c>
      <c r="G145" s="74">
        <v>5</v>
      </c>
      <c r="H145" s="73">
        <v>0.63</v>
      </c>
      <c r="I145" s="73">
        <v>0.31</v>
      </c>
      <c r="J145" s="73">
        <v>0.06</v>
      </c>
    </row>
    <row r="146" spans="1:10" x14ac:dyDescent="0.25">
      <c r="A146" s="67" t="s">
        <v>250</v>
      </c>
      <c r="B146" s="74">
        <v>635</v>
      </c>
      <c r="C146" s="73">
        <v>0</v>
      </c>
      <c r="D146" s="74">
        <v>615</v>
      </c>
      <c r="E146" s="74">
        <v>410</v>
      </c>
      <c r="F146" s="74">
        <v>180</v>
      </c>
      <c r="G146" s="74">
        <v>20</v>
      </c>
      <c r="H146" s="73">
        <v>0.67</v>
      </c>
      <c r="I146" s="73">
        <v>0.28999999999999998</v>
      </c>
      <c r="J146" s="73">
        <v>0.03</v>
      </c>
    </row>
    <row r="147" spans="1:10" x14ac:dyDescent="0.25">
      <c r="A147" t="s">
        <v>185</v>
      </c>
      <c r="B147">
        <v>325</v>
      </c>
      <c r="C147" s="212">
        <v>0.02</v>
      </c>
      <c r="D147">
        <v>305</v>
      </c>
      <c r="E147">
        <v>225</v>
      </c>
      <c r="F147">
        <v>75</v>
      </c>
      <c r="G147">
        <v>5</v>
      </c>
      <c r="H147" s="212">
        <v>0.74</v>
      </c>
      <c r="I147" s="212">
        <v>0.24</v>
      </c>
      <c r="J147" s="212">
        <v>0.01</v>
      </c>
    </row>
    <row r="148" spans="1:10" x14ac:dyDescent="0.25">
      <c r="A148" t="s">
        <v>186</v>
      </c>
      <c r="B148">
        <v>2420</v>
      </c>
      <c r="C148" s="212">
        <v>0.02</v>
      </c>
      <c r="D148">
        <v>2255</v>
      </c>
      <c r="E148">
        <v>1595</v>
      </c>
      <c r="F148">
        <v>555</v>
      </c>
      <c r="G148">
        <v>105</v>
      </c>
      <c r="H148" s="212">
        <v>0.71</v>
      </c>
      <c r="I148" s="212">
        <v>0.25</v>
      </c>
      <c r="J148" s="212">
        <v>0.05</v>
      </c>
    </row>
    <row r="149" spans="1:10" x14ac:dyDescent="0.25">
      <c r="A149" t="s">
        <v>187</v>
      </c>
      <c r="B149">
        <v>2370</v>
      </c>
      <c r="C149" s="212">
        <v>0.02</v>
      </c>
      <c r="D149">
        <v>2280</v>
      </c>
      <c r="E149">
        <v>1595</v>
      </c>
      <c r="F149">
        <v>660</v>
      </c>
      <c r="G149">
        <v>25</v>
      </c>
      <c r="H149" s="212">
        <v>0.7</v>
      </c>
      <c r="I149" s="212">
        <v>0.28999999999999998</v>
      </c>
      <c r="J149" s="212">
        <v>0.01</v>
      </c>
    </row>
    <row r="150" spans="1:10" x14ac:dyDescent="0.25">
      <c r="A150" t="s">
        <v>188</v>
      </c>
      <c r="B150">
        <v>1085</v>
      </c>
      <c r="C150" s="212">
        <v>0.02</v>
      </c>
      <c r="D150">
        <v>1230</v>
      </c>
      <c r="E150">
        <v>915</v>
      </c>
      <c r="F150">
        <v>250</v>
      </c>
      <c r="G150">
        <v>65</v>
      </c>
      <c r="H150" s="212">
        <v>0.74</v>
      </c>
      <c r="I150" s="212">
        <v>0.2</v>
      </c>
      <c r="J150" s="212">
        <v>0.05</v>
      </c>
    </row>
    <row r="151" spans="1:10" x14ac:dyDescent="0.25">
      <c r="A151" t="s">
        <v>251</v>
      </c>
      <c r="B151">
        <v>6205</v>
      </c>
      <c r="C151" s="212">
        <v>0.02</v>
      </c>
      <c r="D151">
        <v>6065</v>
      </c>
      <c r="E151">
        <v>4330</v>
      </c>
      <c r="F151">
        <v>1540</v>
      </c>
      <c r="G151">
        <v>200</v>
      </c>
      <c r="H151" s="212">
        <v>0.71</v>
      </c>
      <c r="I151" s="212">
        <v>0.25</v>
      </c>
      <c r="J151" s="212">
        <v>0.03</v>
      </c>
    </row>
    <row r="152" spans="1:10" x14ac:dyDescent="0.25">
      <c r="A152" t="s">
        <v>189</v>
      </c>
      <c r="B152">
        <v>1115</v>
      </c>
      <c r="C152" s="212">
        <v>0.06</v>
      </c>
      <c r="D152">
        <v>1020</v>
      </c>
      <c r="E152">
        <v>720</v>
      </c>
      <c r="F152">
        <v>280</v>
      </c>
      <c r="G152">
        <v>20</v>
      </c>
      <c r="H152" s="212">
        <v>0.7</v>
      </c>
      <c r="I152" s="212">
        <v>0.27</v>
      </c>
      <c r="J152" s="212">
        <v>0.02</v>
      </c>
    </row>
    <row r="153" spans="1:10" x14ac:dyDescent="0.25">
      <c r="A153" t="s">
        <v>190</v>
      </c>
      <c r="B153">
        <v>7250</v>
      </c>
      <c r="C153" s="212">
        <v>0.06</v>
      </c>
      <c r="D153">
        <v>6825</v>
      </c>
      <c r="E153">
        <v>4805</v>
      </c>
      <c r="F153">
        <v>1700</v>
      </c>
      <c r="G153">
        <v>320</v>
      </c>
      <c r="H153" s="212">
        <v>0.7</v>
      </c>
      <c r="I153" s="212">
        <v>0.25</v>
      </c>
      <c r="J153" s="212">
        <v>0.05</v>
      </c>
    </row>
    <row r="154" spans="1:10" x14ac:dyDescent="0.25">
      <c r="A154" t="s">
        <v>191</v>
      </c>
      <c r="B154">
        <v>7005</v>
      </c>
      <c r="C154" s="212">
        <v>0.06</v>
      </c>
      <c r="D154">
        <v>6650</v>
      </c>
      <c r="E154">
        <v>4625</v>
      </c>
      <c r="F154">
        <v>1925</v>
      </c>
      <c r="G154">
        <v>100</v>
      </c>
      <c r="H154" s="212">
        <v>0.7</v>
      </c>
      <c r="I154" s="212">
        <v>0.28999999999999998</v>
      </c>
      <c r="J154" s="212">
        <v>0.01</v>
      </c>
    </row>
    <row r="155" spans="1:10" x14ac:dyDescent="0.25">
      <c r="A155" t="s">
        <v>192</v>
      </c>
      <c r="B155">
        <v>3420</v>
      </c>
      <c r="C155" s="212">
        <v>0.06</v>
      </c>
      <c r="D155">
        <v>3835</v>
      </c>
      <c r="E155">
        <v>2720</v>
      </c>
      <c r="F155">
        <v>910</v>
      </c>
      <c r="G155">
        <v>205</v>
      </c>
      <c r="H155" s="212">
        <v>0.71</v>
      </c>
      <c r="I155" s="212">
        <v>0.24</v>
      </c>
      <c r="J155" s="212">
        <v>0.05</v>
      </c>
    </row>
    <row r="156" spans="1:10" x14ac:dyDescent="0.25">
      <c r="A156" t="s">
        <v>252</v>
      </c>
      <c r="B156">
        <v>18795</v>
      </c>
      <c r="C156" s="212">
        <v>0.06</v>
      </c>
      <c r="D156">
        <v>18330</v>
      </c>
      <c r="E156">
        <v>12875</v>
      </c>
      <c r="F156">
        <v>4810</v>
      </c>
      <c r="G156">
        <v>645</v>
      </c>
      <c r="H156" s="212">
        <v>0.7</v>
      </c>
      <c r="I156" s="212">
        <v>0.26</v>
      </c>
      <c r="J156" s="212">
        <v>0.04</v>
      </c>
    </row>
    <row r="157" spans="1:10" x14ac:dyDescent="0.25">
      <c r="A157" t="s">
        <v>193</v>
      </c>
      <c r="B157">
        <v>205</v>
      </c>
      <c r="C157" s="212">
        <v>0.01</v>
      </c>
      <c r="D157">
        <v>185</v>
      </c>
      <c r="E157">
        <v>125</v>
      </c>
      <c r="F157">
        <v>55</v>
      </c>
      <c r="G157">
        <v>5</v>
      </c>
      <c r="H157" s="212">
        <v>0.68</v>
      </c>
      <c r="I157" s="212">
        <v>0.3</v>
      </c>
      <c r="J157" s="212">
        <v>0.02</v>
      </c>
    </row>
    <row r="158" spans="1:10" x14ac:dyDescent="0.25">
      <c r="A158" t="s">
        <v>194</v>
      </c>
      <c r="B158">
        <v>1350</v>
      </c>
      <c r="C158" s="212">
        <v>0.01</v>
      </c>
      <c r="D158">
        <v>1270</v>
      </c>
      <c r="E158">
        <v>905</v>
      </c>
      <c r="F158">
        <v>315</v>
      </c>
      <c r="G158">
        <v>50</v>
      </c>
      <c r="H158" s="212">
        <v>0.71</v>
      </c>
      <c r="I158" s="212">
        <v>0.25</v>
      </c>
      <c r="J158" s="212">
        <v>0.04</v>
      </c>
    </row>
    <row r="159" spans="1:10" x14ac:dyDescent="0.25">
      <c r="A159" t="s">
        <v>195</v>
      </c>
      <c r="B159">
        <v>1300</v>
      </c>
      <c r="C159" s="212">
        <v>0.01</v>
      </c>
      <c r="D159">
        <v>1245</v>
      </c>
      <c r="E159">
        <v>910</v>
      </c>
      <c r="F159">
        <v>315</v>
      </c>
      <c r="G159">
        <v>20</v>
      </c>
      <c r="H159" s="212">
        <v>0.73</v>
      </c>
      <c r="I159" s="212">
        <v>0.26</v>
      </c>
      <c r="J159" s="212">
        <v>0.01</v>
      </c>
    </row>
    <row r="160" spans="1:10" x14ac:dyDescent="0.25">
      <c r="A160" t="s">
        <v>196</v>
      </c>
      <c r="B160">
        <v>685</v>
      </c>
      <c r="C160" s="212">
        <v>0.01</v>
      </c>
      <c r="D160">
        <v>765</v>
      </c>
      <c r="E160">
        <v>525</v>
      </c>
      <c r="F160">
        <v>195</v>
      </c>
      <c r="G160">
        <v>45</v>
      </c>
      <c r="H160" s="212">
        <v>0.69</v>
      </c>
      <c r="I160" s="212">
        <v>0.25</v>
      </c>
      <c r="J160" s="212">
        <v>0.06</v>
      </c>
    </row>
    <row r="161" spans="1:10" x14ac:dyDescent="0.25">
      <c r="A161" t="s">
        <v>253</v>
      </c>
      <c r="B161">
        <v>3540</v>
      </c>
      <c r="C161" s="212">
        <v>0.01</v>
      </c>
      <c r="D161">
        <v>3465</v>
      </c>
      <c r="E161">
        <v>2465</v>
      </c>
      <c r="F161">
        <v>880</v>
      </c>
      <c r="G161">
        <v>120</v>
      </c>
      <c r="H161" s="212">
        <v>0.71</v>
      </c>
      <c r="I161" s="212">
        <v>0.25</v>
      </c>
      <c r="J161" s="212">
        <v>0.03</v>
      </c>
    </row>
    <row r="162" spans="1:10" x14ac:dyDescent="0.25">
      <c r="A162" t="s">
        <v>197</v>
      </c>
      <c r="B162">
        <v>19480</v>
      </c>
      <c r="C162" s="212">
        <v>1</v>
      </c>
      <c r="D162">
        <v>17935</v>
      </c>
      <c r="E162">
        <v>11505</v>
      </c>
      <c r="F162">
        <v>6080</v>
      </c>
      <c r="G162">
        <v>350</v>
      </c>
      <c r="H162" s="212">
        <v>0.64</v>
      </c>
      <c r="I162" s="212">
        <v>0.34</v>
      </c>
      <c r="J162" s="212">
        <v>0.02</v>
      </c>
    </row>
    <row r="163" spans="1:10" x14ac:dyDescent="0.25">
      <c r="A163" t="s">
        <v>198</v>
      </c>
      <c r="B163">
        <v>128070</v>
      </c>
      <c r="C163" s="212">
        <v>1</v>
      </c>
      <c r="D163">
        <v>120680</v>
      </c>
      <c r="E163">
        <v>80100</v>
      </c>
      <c r="F163">
        <v>35375</v>
      </c>
      <c r="G163">
        <v>5210</v>
      </c>
      <c r="H163" s="212">
        <v>0.66</v>
      </c>
      <c r="I163" s="212">
        <v>0.28999999999999998</v>
      </c>
      <c r="J163" s="212">
        <v>0.04</v>
      </c>
    </row>
    <row r="164" spans="1:10" x14ac:dyDescent="0.25">
      <c r="A164" t="s">
        <v>199</v>
      </c>
      <c r="B164">
        <v>118600</v>
      </c>
      <c r="C164" s="212">
        <v>1</v>
      </c>
      <c r="D164">
        <v>112435</v>
      </c>
      <c r="E164">
        <v>76960</v>
      </c>
      <c r="F164">
        <v>33480</v>
      </c>
      <c r="G164">
        <v>1995</v>
      </c>
      <c r="H164" s="212">
        <v>0.68</v>
      </c>
      <c r="I164" s="212">
        <v>0.3</v>
      </c>
      <c r="J164" s="212">
        <v>0.02</v>
      </c>
    </row>
    <row r="165" spans="1:10" x14ac:dyDescent="0.25">
      <c r="A165" t="s">
        <v>200</v>
      </c>
      <c r="B165">
        <v>57760</v>
      </c>
      <c r="C165" s="212">
        <v>1</v>
      </c>
      <c r="D165">
        <v>64295</v>
      </c>
      <c r="E165">
        <v>45025</v>
      </c>
      <c r="F165">
        <v>15160</v>
      </c>
      <c r="G165">
        <v>4105</v>
      </c>
      <c r="H165" s="212">
        <v>0.7</v>
      </c>
      <c r="I165" s="212">
        <v>0.24</v>
      </c>
      <c r="J165" s="212">
        <v>0.06</v>
      </c>
    </row>
    <row r="166" spans="1:10" x14ac:dyDescent="0.25">
      <c r="A166" t="s">
        <v>254</v>
      </c>
      <c r="B166">
        <v>323915</v>
      </c>
      <c r="C166" s="212">
        <v>1</v>
      </c>
      <c r="D166">
        <v>315340</v>
      </c>
      <c r="E166">
        <v>213585</v>
      </c>
      <c r="F166">
        <v>90095</v>
      </c>
      <c r="G166">
        <v>11660</v>
      </c>
      <c r="H166" s="212">
        <v>0.68</v>
      </c>
      <c r="I166" s="212">
        <v>0.28999999999999998</v>
      </c>
      <c r="J166" s="212">
        <v>0.04</v>
      </c>
    </row>
    <row r="167" spans="1:10" x14ac:dyDescent="0.25">
      <c r="A167" t="s">
        <v>214</v>
      </c>
      <c r="B167">
        <v>35</v>
      </c>
      <c r="C167" s="212">
        <v>0</v>
      </c>
      <c r="D167">
        <v>30</v>
      </c>
      <c r="E167">
        <v>20</v>
      </c>
      <c r="F167">
        <v>5</v>
      </c>
      <c r="G167" t="s">
        <v>449</v>
      </c>
      <c r="H167" s="212">
        <v>0.7</v>
      </c>
      <c r="I167" t="s">
        <v>449</v>
      </c>
      <c r="J167" t="s">
        <v>449</v>
      </c>
    </row>
    <row r="168" spans="1:10" x14ac:dyDescent="0.25">
      <c r="A168" t="s">
        <v>215</v>
      </c>
      <c r="B168">
        <v>220</v>
      </c>
      <c r="C168" s="212">
        <v>0</v>
      </c>
      <c r="D168">
        <v>205</v>
      </c>
      <c r="E168">
        <v>155</v>
      </c>
      <c r="F168">
        <v>35</v>
      </c>
      <c r="G168">
        <v>15</v>
      </c>
      <c r="H168" s="212">
        <v>0.76</v>
      </c>
      <c r="I168" s="212">
        <v>0.18</v>
      </c>
      <c r="J168" s="212">
        <v>0.06</v>
      </c>
    </row>
    <row r="169" spans="1:10" x14ac:dyDescent="0.25">
      <c r="A169" t="s">
        <v>216</v>
      </c>
      <c r="B169">
        <v>225</v>
      </c>
      <c r="C169" s="212">
        <v>0</v>
      </c>
      <c r="D169">
        <v>205</v>
      </c>
      <c r="E169">
        <v>145</v>
      </c>
      <c r="F169">
        <v>60</v>
      </c>
      <c r="G169">
        <v>5</v>
      </c>
      <c r="H169" s="212">
        <v>0.7</v>
      </c>
      <c r="I169" s="212">
        <v>0.28000000000000003</v>
      </c>
      <c r="J169" s="212">
        <v>0.02</v>
      </c>
    </row>
    <row r="170" spans="1:10" x14ac:dyDescent="0.25">
      <c r="A170" t="s">
        <v>217</v>
      </c>
      <c r="B170">
        <v>170</v>
      </c>
      <c r="C170" s="212">
        <v>0</v>
      </c>
      <c r="D170">
        <v>180</v>
      </c>
      <c r="E170">
        <v>125</v>
      </c>
      <c r="F170">
        <v>40</v>
      </c>
      <c r="G170">
        <v>15</v>
      </c>
      <c r="H170" s="212">
        <v>0.69</v>
      </c>
      <c r="I170" s="212">
        <v>0.23</v>
      </c>
      <c r="J170" s="212">
        <v>0.08</v>
      </c>
    </row>
    <row r="171" spans="1:10" x14ac:dyDescent="0.25">
      <c r="A171" t="s">
        <v>258</v>
      </c>
      <c r="B171">
        <v>650</v>
      </c>
      <c r="C171" s="212">
        <v>0</v>
      </c>
      <c r="D171">
        <v>625</v>
      </c>
      <c r="E171">
        <v>445</v>
      </c>
      <c r="F171">
        <v>145</v>
      </c>
      <c r="G171">
        <v>35</v>
      </c>
      <c r="H171" s="212">
        <v>0.71</v>
      </c>
      <c r="I171" s="212">
        <v>0.23</v>
      </c>
      <c r="J171" s="212">
        <v>0.06</v>
      </c>
    </row>
    <row r="172" spans="1:10" x14ac:dyDescent="0.25">
      <c r="A172" t="s">
        <v>201</v>
      </c>
      <c r="B172">
        <v>455</v>
      </c>
      <c r="C172" s="212">
        <v>0.02</v>
      </c>
      <c r="D172">
        <v>415</v>
      </c>
      <c r="E172">
        <v>310</v>
      </c>
      <c r="F172">
        <v>100</v>
      </c>
      <c r="G172">
        <v>5</v>
      </c>
      <c r="H172" s="212">
        <v>0.75</v>
      </c>
      <c r="I172" s="212">
        <v>0.24</v>
      </c>
      <c r="J172" s="212">
        <v>0.02</v>
      </c>
    </row>
    <row r="173" spans="1:10" x14ac:dyDescent="0.25">
      <c r="A173" t="s">
        <v>202</v>
      </c>
      <c r="B173">
        <v>3160</v>
      </c>
      <c r="C173" s="212">
        <v>0.02</v>
      </c>
      <c r="D173">
        <v>2950</v>
      </c>
      <c r="E173">
        <v>2005</v>
      </c>
      <c r="F173">
        <v>815</v>
      </c>
      <c r="G173">
        <v>130</v>
      </c>
      <c r="H173" s="212">
        <v>0.68</v>
      </c>
      <c r="I173" s="212">
        <v>0.28000000000000003</v>
      </c>
      <c r="J173" s="212">
        <v>0.04</v>
      </c>
    </row>
    <row r="174" spans="1:10" x14ac:dyDescent="0.25">
      <c r="A174" t="s">
        <v>203</v>
      </c>
      <c r="B174">
        <v>2660</v>
      </c>
      <c r="C174" s="212">
        <v>0.02</v>
      </c>
      <c r="D174">
        <v>2600</v>
      </c>
      <c r="E174">
        <v>1805</v>
      </c>
      <c r="F174">
        <v>750</v>
      </c>
      <c r="G174">
        <v>45</v>
      </c>
      <c r="H174" s="212">
        <v>0.69</v>
      </c>
      <c r="I174" s="212">
        <v>0.28999999999999998</v>
      </c>
      <c r="J174" s="212">
        <v>0.02</v>
      </c>
    </row>
    <row r="175" spans="1:10" x14ac:dyDescent="0.25">
      <c r="A175" t="s">
        <v>204</v>
      </c>
      <c r="B175">
        <v>1375</v>
      </c>
      <c r="C175" s="212">
        <v>0.02</v>
      </c>
      <c r="D175">
        <v>1505</v>
      </c>
      <c r="E175">
        <v>1060</v>
      </c>
      <c r="F175">
        <v>340</v>
      </c>
      <c r="G175">
        <v>105</v>
      </c>
      <c r="H175" s="212">
        <v>0.7</v>
      </c>
      <c r="I175" s="212">
        <v>0.23</v>
      </c>
      <c r="J175" s="212">
        <v>7.0000000000000007E-2</v>
      </c>
    </row>
    <row r="176" spans="1:10" x14ac:dyDescent="0.25">
      <c r="A176" t="s">
        <v>255</v>
      </c>
      <c r="B176">
        <v>7655</v>
      </c>
      <c r="C176" s="212">
        <v>0.02</v>
      </c>
      <c r="D176">
        <v>7470</v>
      </c>
      <c r="E176">
        <v>5180</v>
      </c>
      <c r="F176">
        <v>2005</v>
      </c>
      <c r="G176">
        <v>290</v>
      </c>
      <c r="H176" s="212">
        <v>0.69</v>
      </c>
      <c r="I176" s="212">
        <v>0.27</v>
      </c>
      <c r="J176" s="212">
        <v>0.04</v>
      </c>
    </row>
    <row r="177" spans="1:10" x14ac:dyDescent="0.25">
      <c r="A177" t="s">
        <v>205</v>
      </c>
      <c r="B177">
        <v>670</v>
      </c>
      <c r="C177" s="212">
        <v>0.03</v>
      </c>
      <c r="D177">
        <v>605</v>
      </c>
      <c r="E177">
        <v>440</v>
      </c>
      <c r="F177">
        <v>155</v>
      </c>
      <c r="G177">
        <v>10</v>
      </c>
      <c r="H177" s="212">
        <v>0.73</v>
      </c>
      <c r="I177" s="212">
        <v>0.26</v>
      </c>
      <c r="J177" s="212">
        <v>0.01</v>
      </c>
    </row>
    <row r="178" spans="1:10" x14ac:dyDescent="0.25">
      <c r="A178" t="s">
        <v>206</v>
      </c>
      <c r="B178">
        <v>4855</v>
      </c>
      <c r="C178" s="212">
        <v>0.04</v>
      </c>
      <c r="D178">
        <v>4585</v>
      </c>
      <c r="E178">
        <v>3150</v>
      </c>
      <c r="F178">
        <v>1240</v>
      </c>
      <c r="G178">
        <v>195</v>
      </c>
      <c r="H178" s="212">
        <v>0.69</v>
      </c>
      <c r="I178" s="212">
        <v>0.27</v>
      </c>
      <c r="J178" s="212">
        <v>0.04</v>
      </c>
    </row>
    <row r="179" spans="1:10" x14ac:dyDescent="0.25">
      <c r="A179" t="s">
        <v>207</v>
      </c>
      <c r="B179">
        <v>4425</v>
      </c>
      <c r="C179" s="212">
        <v>0.04</v>
      </c>
      <c r="D179">
        <v>4190</v>
      </c>
      <c r="E179">
        <v>2925</v>
      </c>
      <c r="F179">
        <v>1175</v>
      </c>
      <c r="G179">
        <v>85</v>
      </c>
      <c r="H179" s="212">
        <v>0.7</v>
      </c>
      <c r="I179" s="212">
        <v>0.28000000000000003</v>
      </c>
      <c r="J179" s="212">
        <v>0.02</v>
      </c>
    </row>
    <row r="180" spans="1:10" x14ac:dyDescent="0.25">
      <c r="A180" t="s">
        <v>208</v>
      </c>
      <c r="B180">
        <v>2235</v>
      </c>
      <c r="C180" s="212">
        <v>0.04</v>
      </c>
      <c r="D180">
        <v>2485</v>
      </c>
      <c r="E180">
        <v>1650</v>
      </c>
      <c r="F180">
        <v>590</v>
      </c>
      <c r="G180">
        <v>245</v>
      </c>
      <c r="H180" s="212">
        <v>0.66</v>
      </c>
      <c r="I180" s="212">
        <v>0.24</v>
      </c>
      <c r="J180" s="212">
        <v>0.1</v>
      </c>
    </row>
    <row r="181" spans="1:10" x14ac:dyDescent="0.25">
      <c r="A181" t="s">
        <v>256</v>
      </c>
      <c r="B181">
        <v>12180</v>
      </c>
      <c r="C181" s="212">
        <v>0.04</v>
      </c>
      <c r="D181">
        <v>11865</v>
      </c>
      <c r="E181">
        <v>8165</v>
      </c>
      <c r="F181">
        <v>3165</v>
      </c>
      <c r="G181">
        <v>535</v>
      </c>
      <c r="H181" s="212">
        <v>0.69</v>
      </c>
      <c r="I181" s="212">
        <v>0.27</v>
      </c>
      <c r="J181" s="212">
        <v>0.05</v>
      </c>
    </row>
  </sheetData>
  <sheetProtection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181"/>
  <sheetViews>
    <sheetView zoomScale="75" zoomScaleNormal="75" workbookViewId="0"/>
  </sheetViews>
  <sheetFormatPr defaultRowHeight="15" x14ac:dyDescent="0.25"/>
  <cols>
    <col min="1" max="1" width="31.42578125" bestFit="1" customWidth="1"/>
    <col min="2" max="15" width="16.140625" customWidth="1"/>
  </cols>
  <sheetData>
    <row r="1" spans="1:15" ht="94.5" x14ac:dyDescent="0.25">
      <c r="A1" s="91" t="s">
        <v>61</v>
      </c>
      <c r="B1" s="71" t="s">
        <v>51</v>
      </c>
      <c r="C1" s="71" t="s">
        <v>314</v>
      </c>
      <c r="D1" s="71" t="s">
        <v>726</v>
      </c>
      <c r="E1" s="71" t="s">
        <v>727</v>
      </c>
      <c r="F1" s="71" t="s">
        <v>728</v>
      </c>
      <c r="G1" s="71" t="s">
        <v>729</v>
      </c>
      <c r="H1" s="71" t="s">
        <v>730</v>
      </c>
      <c r="I1" s="71" t="s">
        <v>731</v>
      </c>
      <c r="J1" s="92" t="s">
        <v>732</v>
      </c>
      <c r="K1" s="92" t="s">
        <v>733</v>
      </c>
      <c r="L1" s="92" t="s">
        <v>734</v>
      </c>
      <c r="M1" s="72" t="s">
        <v>735</v>
      </c>
      <c r="O1" s="72" t="s">
        <v>213</v>
      </c>
    </row>
    <row r="2" spans="1:15" ht="15.75" thickBot="1" x14ac:dyDescent="0.3">
      <c r="A2" s="93" t="s">
        <v>73</v>
      </c>
      <c r="B2" s="8">
        <v>610</v>
      </c>
      <c r="C2" s="73">
        <v>0.03</v>
      </c>
      <c r="D2" s="8">
        <v>585</v>
      </c>
      <c r="E2" s="8">
        <v>0</v>
      </c>
      <c r="F2" s="8">
        <v>0</v>
      </c>
      <c r="G2" s="8">
        <v>0</v>
      </c>
      <c r="H2" s="8">
        <v>25</v>
      </c>
      <c r="I2" s="73">
        <v>0.96</v>
      </c>
      <c r="J2" s="73">
        <v>0</v>
      </c>
      <c r="K2" s="73">
        <v>0</v>
      </c>
      <c r="L2" s="73">
        <v>0</v>
      </c>
      <c r="M2" s="73">
        <v>0.04</v>
      </c>
      <c r="O2" s="22" t="s">
        <v>209</v>
      </c>
    </row>
    <row r="3" spans="1:15" ht="15.75" thickBot="1" x14ac:dyDescent="0.3">
      <c r="A3" s="93" t="s">
        <v>74</v>
      </c>
      <c r="B3" s="8">
        <v>3485</v>
      </c>
      <c r="C3" s="73">
        <v>0.03</v>
      </c>
      <c r="D3" s="8">
        <v>990</v>
      </c>
      <c r="E3" s="8">
        <v>1360</v>
      </c>
      <c r="F3" s="8">
        <v>720</v>
      </c>
      <c r="G3" s="8">
        <v>1545</v>
      </c>
      <c r="H3" s="8">
        <v>365</v>
      </c>
      <c r="I3" s="73">
        <v>0.28000000000000003</v>
      </c>
      <c r="J3" s="73">
        <v>0.39</v>
      </c>
      <c r="K3" s="73">
        <v>0.21</v>
      </c>
      <c r="L3" s="73">
        <v>0.44</v>
      </c>
      <c r="M3" s="73">
        <v>0.1</v>
      </c>
      <c r="O3" s="22" t="s">
        <v>210</v>
      </c>
    </row>
    <row r="4" spans="1:15" ht="15.75" thickBot="1" x14ac:dyDescent="0.3">
      <c r="A4" s="93" t="s">
        <v>75</v>
      </c>
      <c r="B4" s="8">
        <v>3860</v>
      </c>
      <c r="C4" s="73">
        <v>0.03</v>
      </c>
      <c r="D4" s="8">
        <v>1135</v>
      </c>
      <c r="E4" s="8">
        <v>1305</v>
      </c>
      <c r="F4" s="8">
        <v>1010</v>
      </c>
      <c r="G4" s="8">
        <v>2620</v>
      </c>
      <c r="H4" s="8">
        <v>430</v>
      </c>
      <c r="I4" s="73">
        <v>0.28999999999999998</v>
      </c>
      <c r="J4" s="73">
        <v>0.34</v>
      </c>
      <c r="K4" s="73">
        <v>0.26</v>
      </c>
      <c r="L4" s="73">
        <v>0.68</v>
      </c>
      <c r="M4" s="73">
        <v>0.11</v>
      </c>
      <c r="O4" s="22" t="s">
        <v>211</v>
      </c>
    </row>
    <row r="5" spans="1:15" ht="15.75" thickBot="1" x14ac:dyDescent="0.3">
      <c r="A5" s="93" t="s">
        <v>76</v>
      </c>
      <c r="B5" s="8">
        <v>1935</v>
      </c>
      <c r="C5" s="73">
        <v>0.03</v>
      </c>
      <c r="D5" s="8">
        <v>730</v>
      </c>
      <c r="E5" s="8">
        <v>595</v>
      </c>
      <c r="F5" s="8">
        <v>580</v>
      </c>
      <c r="G5" s="8">
        <v>1310</v>
      </c>
      <c r="H5" s="8">
        <v>160</v>
      </c>
      <c r="I5" s="73">
        <v>0.38</v>
      </c>
      <c r="J5" s="73">
        <v>0.31</v>
      </c>
      <c r="K5" s="73">
        <v>0.3</v>
      </c>
      <c r="L5" s="73">
        <v>0.68</v>
      </c>
      <c r="M5" s="73">
        <v>0.08</v>
      </c>
      <c r="O5" s="22" t="s">
        <v>212</v>
      </c>
    </row>
    <row r="6" spans="1:15" ht="15.75" thickBot="1" x14ac:dyDescent="0.3">
      <c r="A6" s="93" t="s">
        <v>223</v>
      </c>
      <c r="B6" s="8">
        <v>9890</v>
      </c>
      <c r="C6" s="73">
        <v>0.03</v>
      </c>
      <c r="D6" s="8">
        <v>3435</v>
      </c>
      <c r="E6" s="8">
        <v>3260</v>
      </c>
      <c r="F6" s="8">
        <v>2310</v>
      </c>
      <c r="G6" s="8">
        <v>5475</v>
      </c>
      <c r="H6" s="8">
        <v>975</v>
      </c>
      <c r="I6" s="73">
        <v>0.35</v>
      </c>
      <c r="J6" s="73">
        <v>0.33</v>
      </c>
      <c r="K6" s="73">
        <v>0.23</v>
      </c>
      <c r="L6" s="73">
        <v>0.55000000000000004</v>
      </c>
      <c r="M6" s="73">
        <v>0.1</v>
      </c>
      <c r="O6" s="22" t="s">
        <v>222</v>
      </c>
    </row>
    <row r="7" spans="1:15" ht="15.75" thickBot="1" x14ac:dyDescent="0.3">
      <c r="A7" s="93" t="s">
        <v>77</v>
      </c>
      <c r="B7" s="8">
        <v>530</v>
      </c>
      <c r="C7" s="73">
        <v>0.03</v>
      </c>
      <c r="D7" s="8">
        <v>510</v>
      </c>
      <c r="E7" s="8">
        <v>0</v>
      </c>
      <c r="F7" s="8">
        <v>0</v>
      </c>
      <c r="G7" s="8">
        <v>0</v>
      </c>
      <c r="H7" s="8">
        <v>20</v>
      </c>
      <c r="I7" s="73">
        <v>0.97</v>
      </c>
      <c r="J7" s="73">
        <v>0</v>
      </c>
      <c r="K7" s="73">
        <v>0</v>
      </c>
      <c r="L7" s="73">
        <v>0</v>
      </c>
      <c r="M7" s="73">
        <v>0.03</v>
      </c>
    </row>
    <row r="8" spans="1:15" ht="15.75" thickBot="1" x14ac:dyDescent="0.3">
      <c r="A8" s="93" t="s">
        <v>78</v>
      </c>
      <c r="B8" s="8">
        <v>2755</v>
      </c>
      <c r="C8" s="73">
        <v>0.02</v>
      </c>
      <c r="D8" s="8">
        <v>770</v>
      </c>
      <c r="E8" s="8">
        <v>1080</v>
      </c>
      <c r="F8" s="8">
        <v>630</v>
      </c>
      <c r="G8" s="8">
        <v>1255</v>
      </c>
      <c r="H8" s="8">
        <v>280</v>
      </c>
      <c r="I8" s="73">
        <v>0.28000000000000003</v>
      </c>
      <c r="J8" s="73">
        <v>0.39</v>
      </c>
      <c r="K8" s="73">
        <v>0.23</v>
      </c>
      <c r="L8" s="73">
        <v>0.46</v>
      </c>
      <c r="M8" s="73">
        <v>0.1</v>
      </c>
    </row>
    <row r="9" spans="1:15" ht="15.75" thickBot="1" x14ac:dyDescent="0.3">
      <c r="A9" s="93" t="s">
        <v>79</v>
      </c>
      <c r="B9" s="8">
        <v>3380</v>
      </c>
      <c r="C9" s="73">
        <v>0.03</v>
      </c>
      <c r="D9" s="8">
        <v>890</v>
      </c>
      <c r="E9" s="8">
        <v>1115</v>
      </c>
      <c r="F9" s="8">
        <v>925</v>
      </c>
      <c r="G9" s="8">
        <v>2140</v>
      </c>
      <c r="H9" s="8">
        <v>445</v>
      </c>
      <c r="I9" s="73">
        <v>0.26</v>
      </c>
      <c r="J9" s="73">
        <v>0.33</v>
      </c>
      <c r="K9" s="73">
        <v>0.27</v>
      </c>
      <c r="L9" s="73">
        <v>0.63</v>
      </c>
      <c r="M9" s="73">
        <v>0.13</v>
      </c>
    </row>
    <row r="10" spans="1:15" ht="15.75" thickBot="1" x14ac:dyDescent="0.3">
      <c r="A10" s="93" t="s">
        <v>80</v>
      </c>
      <c r="B10" s="8">
        <v>1605</v>
      </c>
      <c r="C10" s="73">
        <v>0.03</v>
      </c>
      <c r="D10" s="8">
        <v>540</v>
      </c>
      <c r="E10" s="8">
        <v>505</v>
      </c>
      <c r="F10" s="8">
        <v>560</v>
      </c>
      <c r="G10" s="8">
        <v>1040</v>
      </c>
      <c r="H10" s="8">
        <v>125</v>
      </c>
      <c r="I10" s="73">
        <v>0.34</v>
      </c>
      <c r="J10" s="73">
        <v>0.32</v>
      </c>
      <c r="K10" s="73">
        <v>0.35</v>
      </c>
      <c r="L10" s="73">
        <v>0.65</v>
      </c>
      <c r="M10" s="73">
        <v>0.08</v>
      </c>
    </row>
    <row r="11" spans="1:15" ht="15.75" thickBot="1" x14ac:dyDescent="0.3">
      <c r="A11" s="93" t="s">
        <v>224</v>
      </c>
      <c r="B11" s="8">
        <v>8265</v>
      </c>
      <c r="C11" s="73">
        <v>0.03</v>
      </c>
      <c r="D11" s="8">
        <v>2710</v>
      </c>
      <c r="E11" s="8">
        <v>2700</v>
      </c>
      <c r="F11" s="8">
        <v>2120</v>
      </c>
      <c r="G11" s="8">
        <v>4435</v>
      </c>
      <c r="H11" s="8">
        <v>870</v>
      </c>
      <c r="I11" s="73">
        <v>0.33</v>
      </c>
      <c r="J11" s="73">
        <v>0.33</v>
      </c>
      <c r="K11" s="73">
        <v>0.26</v>
      </c>
      <c r="L11" s="73">
        <v>0.54</v>
      </c>
      <c r="M11" s="73">
        <v>0.11</v>
      </c>
    </row>
    <row r="12" spans="1:15" ht="15.75" thickBot="1" x14ac:dyDescent="0.3">
      <c r="A12" s="93" t="s">
        <v>81</v>
      </c>
      <c r="B12" s="8">
        <v>335</v>
      </c>
      <c r="C12" s="73">
        <v>0.02</v>
      </c>
      <c r="D12" s="8">
        <v>330</v>
      </c>
      <c r="E12" s="8">
        <v>0</v>
      </c>
      <c r="F12" s="8">
        <v>0</v>
      </c>
      <c r="G12" s="8">
        <v>0</v>
      </c>
      <c r="H12" s="8">
        <v>5</v>
      </c>
      <c r="I12" s="73">
        <v>0.99</v>
      </c>
      <c r="J12" s="73">
        <v>0</v>
      </c>
      <c r="K12" s="73">
        <v>0</v>
      </c>
      <c r="L12" s="73">
        <v>0</v>
      </c>
      <c r="M12" s="73">
        <v>0.01</v>
      </c>
    </row>
    <row r="13" spans="1:15" ht="15.75" thickBot="1" x14ac:dyDescent="0.3">
      <c r="A13" s="93" t="s">
        <v>82</v>
      </c>
      <c r="B13" s="8">
        <v>2330</v>
      </c>
      <c r="C13" s="73">
        <v>0.02</v>
      </c>
      <c r="D13" s="8">
        <v>635</v>
      </c>
      <c r="E13" s="8">
        <v>935</v>
      </c>
      <c r="F13" s="8">
        <v>545</v>
      </c>
      <c r="G13" s="8">
        <v>1000</v>
      </c>
      <c r="H13" s="8">
        <v>285</v>
      </c>
      <c r="I13" s="73">
        <v>0.27</v>
      </c>
      <c r="J13" s="73">
        <v>0.4</v>
      </c>
      <c r="K13" s="73">
        <v>0.23</v>
      </c>
      <c r="L13" s="73">
        <v>0.43</v>
      </c>
      <c r="M13" s="73">
        <v>0.12</v>
      </c>
    </row>
    <row r="14" spans="1:15" ht="15.75" thickBot="1" x14ac:dyDescent="0.3">
      <c r="A14" s="93" t="s">
        <v>83</v>
      </c>
      <c r="B14" s="8">
        <v>2250</v>
      </c>
      <c r="C14" s="73">
        <v>0.02</v>
      </c>
      <c r="D14" s="8">
        <v>630</v>
      </c>
      <c r="E14" s="8">
        <v>720</v>
      </c>
      <c r="F14" s="8">
        <v>690</v>
      </c>
      <c r="G14" s="8">
        <v>1460</v>
      </c>
      <c r="H14" s="8">
        <v>250</v>
      </c>
      <c r="I14" s="73">
        <v>0.28000000000000003</v>
      </c>
      <c r="J14" s="73">
        <v>0.32</v>
      </c>
      <c r="K14" s="73">
        <v>0.31</v>
      </c>
      <c r="L14" s="73">
        <v>0.65</v>
      </c>
      <c r="M14" s="73">
        <v>0.11</v>
      </c>
    </row>
    <row r="15" spans="1:15" ht="15.75" thickBot="1" x14ac:dyDescent="0.3">
      <c r="A15" s="93" t="s">
        <v>84</v>
      </c>
      <c r="B15" s="8">
        <v>1045</v>
      </c>
      <c r="C15" s="73">
        <v>0.02</v>
      </c>
      <c r="D15" s="8">
        <v>415</v>
      </c>
      <c r="E15" s="8">
        <v>335</v>
      </c>
      <c r="F15" s="8">
        <v>310</v>
      </c>
      <c r="G15" s="8">
        <v>750</v>
      </c>
      <c r="H15" s="8">
        <v>65</v>
      </c>
      <c r="I15" s="73">
        <v>0.4</v>
      </c>
      <c r="J15" s="73">
        <v>0.32</v>
      </c>
      <c r="K15" s="73">
        <v>0.28999999999999998</v>
      </c>
      <c r="L15" s="73">
        <v>0.72</v>
      </c>
      <c r="M15" s="73">
        <v>0.06</v>
      </c>
    </row>
    <row r="16" spans="1:15" ht="15.75" thickBot="1" x14ac:dyDescent="0.3">
      <c r="A16" s="93" t="s">
        <v>225</v>
      </c>
      <c r="B16" s="8">
        <v>5960</v>
      </c>
      <c r="C16" s="73">
        <v>0.02</v>
      </c>
      <c r="D16" s="8">
        <v>2010</v>
      </c>
      <c r="E16" s="8">
        <v>1990</v>
      </c>
      <c r="F16" s="8">
        <v>1545</v>
      </c>
      <c r="G16" s="8">
        <v>3215</v>
      </c>
      <c r="H16" s="8">
        <v>600</v>
      </c>
      <c r="I16" s="73">
        <v>0.34</v>
      </c>
      <c r="J16" s="73">
        <v>0.33</v>
      </c>
      <c r="K16" s="73">
        <v>0.26</v>
      </c>
      <c r="L16" s="73">
        <v>0.54</v>
      </c>
      <c r="M16" s="73">
        <v>0.1</v>
      </c>
    </row>
    <row r="17" spans="1:13" ht="15.75" thickBot="1" x14ac:dyDescent="0.3">
      <c r="A17" s="93" t="s">
        <v>85</v>
      </c>
      <c r="B17" s="8">
        <v>255</v>
      </c>
      <c r="C17" s="73">
        <v>0.01</v>
      </c>
      <c r="D17" s="8">
        <v>245</v>
      </c>
      <c r="E17" s="8">
        <v>0</v>
      </c>
      <c r="F17" s="8">
        <v>0</v>
      </c>
      <c r="G17" s="8">
        <v>0</v>
      </c>
      <c r="H17" s="8">
        <v>15</v>
      </c>
      <c r="I17" s="73">
        <v>0.95</v>
      </c>
      <c r="J17" s="73">
        <v>0</v>
      </c>
      <c r="K17" s="73">
        <v>0</v>
      </c>
      <c r="L17" s="73">
        <v>0</v>
      </c>
      <c r="M17" s="73">
        <v>0.05</v>
      </c>
    </row>
    <row r="18" spans="1:13" ht="15.75" thickBot="1" x14ac:dyDescent="0.3">
      <c r="A18" s="93" t="s">
        <v>86</v>
      </c>
      <c r="B18" s="8">
        <v>1315</v>
      </c>
      <c r="C18" s="73">
        <v>0.01</v>
      </c>
      <c r="D18" s="8">
        <v>345</v>
      </c>
      <c r="E18" s="8">
        <v>550</v>
      </c>
      <c r="F18" s="8">
        <v>310</v>
      </c>
      <c r="G18" s="8">
        <v>520</v>
      </c>
      <c r="H18" s="8">
        <v>135</v>
      </c>
      <c r="I18" s="73">
        <v>0.26</v>
      </c>
      <c r="J18" s="73">
        <v>0.42</v>
      </c>
      <c r="K18" s="73">
        <v>0.24</v>
      </c>
      <c r="L18" s="73">
        <v>0.4</v>
      </c>
      <c r="M18" s="73">
        <v>0.1</v>
      </c>
    </row>
    <row r="19" spans="1:13" ht="15.75" thickBot="1" x14ac:dyDescent="0.3">
      <c r="A19" s="93" t="s">
        <v>87</v>
      </c>
      <c r="B19" s="8">
        <v>1400</v>
      </c>
      <c r="C19" s="73">
        <v>0.01</v>
      </c>
      <c r="D19" s="8">
        <v>385</v>
      </c>
      <c r="E19" s="8">
        <v>500</v>
      </c>
      <c r="F19" s="8">
        <v>390</v>
      </c>
      <c r="G19" s="8">
        <v>905</v>
      </c>
      <c r="H19" s="8">
        <v>175</v>
      </c>
      <c r="I19" s="73">
        <v>0.28000000000000003</v>
      </c>
      <c r="J19" s="73">
        <v>0.36</v>
      </c>
      <c r="K19" s="73">
        <v>0.28000000000000003</v>
      </c>
      <c r="L19" s="73">
        <v>0.65</v>
      </c>
      <c r="M19" s="73">
        <v>0.13</v>
      </c>
    </row>
    <row r="20" spans="1:13" ht="15.75" thickBot="1" x14ac:dyDescent="0.3">
      <c r="A20" s="93" t="s">
        <v>88</v>
      </c>
      <c r="B20" s="8">
        <v>600</v>
      </c>
      <c r="C20" s="73">
        <v>0.01</v>
      </c>
      <c r="D20" s="8">
        <v>185</v>
      </c>
      <c r="E20" s="8">
        <v>180</v>
      </c>
      <c r="F20" s="8">
        <v>245</v>
      </c>
      <c r="G20" s="8">
        <v>365</v>
      </c>
      <c r="H20" s="8">
        <v>35</v>
      </c>
      <c r="I20" s="73">
        <v>0.31</v>
      </c>
      <c r="J20" s="73">
        <v>0.3</v>
      </c>
      <c r="K20" s="73">
        <v>0.41</v>
      </c>
      <c r="L20" s="73">
        <v>0.61</v>
      </c>
      <c r="M20" s="73">
        <v>0.06</v>
      </c>
    </row>
    <row r="21" spans="1:13" ht="15.75" thickBot="1" x14ac:dyDescent="0.3">
      <c r="A21" s="93" t="s">
        <v>226</v>
      </c>
      <c r="B21" s="8">
        <v>3565</v>
      </c>
      <c r="C21" s="73">
        <v>0.01</v>
      </c>
      <c r="D21" s="8">
        <v>1160</v>
      </c>
      <c r="E21" s="8">
        <v>1230</v>
      </c>
      <c r="F21" s="8">
        <v>945</v>
      </c>
      <c r="G21" s="8">
        <v>1790</v>
      </c>
      <c r="H21" s="8">
        <v>360</v>
      </c>
      <c r="I21" s="73">
        <v>0.33</v>
      </c>
      <c r="J21" s="73">
        <v>0.34</v>
      </c>
      <c r="K21" s="73">
        <v>0.27</v>
      </c>
      <c r="L21" s="73">
        <v>0.5</v>
      </c>
      <c r="M21" s="73">
        <v>0.1</v>
      </c>
    </row>
    <row r="22" spans="1:13" ht="15.75" thickBot="1" x14ac:dyDescent="0.3">
      <c r="A22" s="93" t="s">
        <v>89</v>
      </c>
      <c r="B22" s="8">
        <v>160</v>
      </c>
      <c r="C22" s="73">
        <v>0.01</v>
      </c>
      <c r="D22" s="8">
        <v>155</v>
      </c>
      <c r="E22" s="8">
        <v>0</v>
      </c>
      <c r="F22" s="8">
        <v>0</v>
      </c>
      <c r="G22" s="8">
        <v>0</v>
      </c>
      <c r="H22" s="8">
        <v>5</v>
      </c>
      <c r="I22" s="73">
        <v>0.96</v>
      </c>
      <c r="J22" s="73">
        <v>0</v>
      </c>
      <c r="K22" s="73">
        <v>0</v>
      </c>
      <c r="L22" s="73">
        <v>0</v>
      </c>
      <c r="M22" s="73">
        <v>0.04</v>
      </c>
    </row>
    <row r="23" spans="1:13" ht="15.75" thickBot="1" x14ac:dyDescent="0.3">
      <c r="A23" s="93" t="s">
        <v>90</v>
      </c>
      <c r="B23" s="8">
        <v>1385</v>
      </c>
      <c r="C23" s="73">
        <v>0.01</v>
      </c>
      <c r="D23" s="8">
        <v>325</v>
      </c>
      <c r="E23" s="8">
        <v>570</v>
      </c>
      <c r="F23" s="8">
        <v>340</v>
      </c>
      <c r="G23" s="8">
        <v>570</v>
      </c>
      <c r="H23" s="8">
        <v>170</v>
      </c>
      <c r="I23" s="73">
        <v>0.23</v>
      </c>
      <c r="J23" s="73">
        <v>0.41</v>
      </c>
      <c r="K23" s="73">
        <v>0.25</v>
      </c>
      <c r="L23" s="73">
        <v>0.41</v>
      </c>
      <c r="M23" s="73">
        <v>0.12</v>
      </c>
    </row>
    <row r="24" spans="1:13" ht="15.75" thickBot="1" x14ac:dyDescent="0.3">
      <c r="A24" s="93" t="s">
        <v>91</v>
      </c>
      <c r="B24" s="8">
        <v>1330</v>
      </c>
      <c r="C24" s="73">
        <v>0.01</v>
      </c>
      <c r="D24" s="8">
        <v>385</v>
      </c>
      <c r="E24" s="8">
        <v>415</v>
      </c>
      <c r="F24" s="8">
        <v>395</v>
      </c>
      <c r="G24" s="8">
        <v>870</v>
      </c>
      <c r="H24" s="8">
        <v>150</v>
      </c>
      <c r="I24" s="73">
        <v>0.28999999999999998</v>
      </c>
      <c r="J24" s="73">
        <v>0.31</v>
      </c>
      <c r="K24" s="73">
        <v>0.3</v>
      </c>
      <c r="L24" s="73">
        <v>0.65</v>
      </c>
      <c r="M24" s="73">
        <v>0.11</v>
      </c>
    </row>
    <row r="25" spans="1:13" ht="15.75" thickBot="1" x14ac:dyDescent="0.3">
      <c r="A25" s="93" t="s">
        <v>92</v>
      </c>
      <c r="B25" s="8">
        <v>610</v>
      </c>
      <c r="C25" s="73">
        <v>0.01</v>
      </c>
      <c r="D25" s="8">
        <v>250</v>
      </c>
      <c r="E25" s="8">
        <v>180</v>
      </c>
      <c r="F25" s="8">
        <v>215</v>
      </c>
      <c r="G25" s="8">
        <v>420</v>
      </c>
      <c r="H25" s="8">
        <v>30</v>
      </c>
      <c r="I25" s="73">
        <v>0.41</v>
      </c>
      <c r="J25" s="73">
        <v>0.3</v>
      </c>
      <c r="K25" s="73">
        <v>0.35</v>
      </c>
      <c r="L25" s="73">
        <v>0.69</v>
      </c>
      <c r="M25" s="73">
        <v>0.05</v>
      </c>
    </row>
    <row r="26" spans="1:13" ht="15.75" thickBot="1" x14ac:dyDescent="0.3">
      <c r="A26" s="93" t="s">
        <v>227</v>
      </c>
      <c r="B26" s="8">
        <v>3490</v>
      </c>
      <c r="C26" s="73">
        <v>0.01</v>
      </c>
      <c r="D26" s="8">
        <v>1115</v>
      </c>
      <c r="E26" s="8">
        <v>1165</v>
      </c>
      <c r="F26" s="8">
        <v>950</v>
      </c>
      <c r="G26" s="8">
        <v>1860</v>
      </c>
      <c r="H26" s="8">
        <v>355</v>
      </c>
      <c r="I26" s="73">
        <v>0.32</v>
      </c>
      <c r="J26" s="73">
        <v>0.33</v>
      </c>
      <c r="K26" s="73">
        <v>0.27</v>
      </c>
      <c r="L26" s="73">
        <v>0.53</v>
      </c>
      <c r="M26" s="73">
        <v>0.1</v>
      </c>
    </row>
    <row r="27" spans="1:13" ht="15.75" thickBot="1" x14ac:dyDescent="0.3">
      <c r="A27" s="93" t="s">
        <v>93</v>
      </c>
      <c r="B27" s="8">
        <v>425</v>
      </c>
      <c r="C27" s="73">
        <v>0.02</v>
      </c>
      <c r="D27" s="8">
        <v>410</v>
      </c>
      <c r="E27" s="8">
        <v>0</v>
      </c>
      <c r="F27" s="8">
        <v>0</v>
      </c>
      <c r="G27" s="8">
        <v>0</v>
      </c>
      <c r="H27" s="8">
        <v>15</v>
      </c>
      <c r="I27" s="73">
        <v>0.97</v>
      </c>
      <c r="J27" s="73">
        <v>0</v>
      </c>
      <c r="K27" s="73">
        <v>0</v>
      </c>
      <c r="L27" s="73">
        <v>0</v>
      </c>
      <c r="M27" s="73">
        <v>0.03</v>
      </c>
    </row>
    <row r="28" spans="1:13" ht="15.75" thickBot="1" x14ac:dyDescent="0.3">
      <c r="A28" s="93" t="s">
        <v>94</v>
      </c>
      <c r="B28" s="8">
        <v>3295</v>
      </c>
      <c r="C28" s="73">
        <v>0.03</v>
      </c>
      <c r="D28" s="8">
        <v>860</v>
      </c>
      <c r="E28" s="8">
        <v>1395</v>
      </c>
      <c r="F28" s="8">
        <v>725</v>
      </c>
      <c r="G28" s="8">
        <v>1435</v>
      </c>
      <c r="H28" s="8">
        <v>375</v>
      </c>
      <c r="I28" s="73">
        <v>0.26</v>
      </c>
      <c r="J28" s="73">
        <v>0.42</v>
      </c>
      <c r="K28" s="73">
        <v>0.22</v>
      </c>
      <c r="L28" s="73">
        <v>0.44</v>
      </c>
      <c r="M28" s="73">
        <v>0.11</v>
      </c>
    </row>
    <row r="29" spans="1:13" ht="15.75" thickBot="1" x14ac:dyDescent="0.3">
      <c r="A29" s="93" t="s">
        <v>95</v>
      </c>
      <c r="B29" s="8">
        <v>3065</v>
      </c>
      <c r="C29" s="73">
        <v>0.03</v>
      </c>
      <c r="D29" s="8">
        <v>835</v>
      </c>
      <c r="E29" s="8">
        <v>1095</v>
      </c>
      <c r="F29" s="8">
        <v>915</v>
      </c>
      <c r="G29" s="8">
        <v>2000</v>
      </c>
      <c r="H29" s="8">
        <v>320</v>
      </c>
      <c r="I29" s="73">
        <v>0.27</v>
      </c>
      <c r="J29" s="73">
        <v>0.36</v>
      </c>
      <c r="K29" s="73">
        <v>0.3</v>
      </c>
      <c r="L29" s="73">
        <v>0.65</v>
      </c>
      <c r="M29" s="73">
        <v>0.1</v>
      </c>
    </row>
    <row r="30" spans="1:13" ht="15.75" thickBot="1" x14ac:dyDescent="0.3">
      <c r="A30" s="93" t="s">
        <v>96</v>
      </c>
      <c r="B30" s="8">
        <v>1455</v>
      </c>
      <c r="C30" s="73">
        <v>0.03</v>
      </c>
      <c r="D30" s="8">
        <v>535</v>
      </c>
      <c r="E30" s="8">
        <v>450</v>
      </c>
      <c r="F30" s="8">
        <v>535</v>
      </c>
      <c r="G30" s="8">
        <v>970</v>
      </c>
      <c r="H30" s="8">
        <v>100</v>
      </c>
      <c r="I30" s="73">
        <v>0.37</v>
      </c>
      <c r="J30" s="73">
        <v>0.31</v>
      </c>
      <c r="K30" s="73">
        <v>0.37</v>
      </c>
      <c r="L30" s="73">
        <v>0.67</v>
      </c>
      <c r="M30" s="73">
        <v>7.0000000000000007E-2</v>
      </c>
    </row>
    <row r="31" spans="1:13" ht="15.75" thickBot="1" x14ac:dyDescent="0.3">
      <c r="A31" s="93" t="s">
        <v>228</v>
      </c>
      <c r="B31" s="8">
        <v>8240</v>
      </c>
      <c r="C31" s="73">
        <v>0.03</v>
      </c>
      <c r="D31" s="8">
        <v>2640</v>
      </c>
      <c r="E31" s="8">
        <v>2940</v>
      </c>
      <c r="F31" s="8">
        <v>2175</v>
      </c>
      <c r="G31" s="8">
        <v>4405</v>
      </c>
      <c r="H31" s="8">
        <v>815</v>
      </c>
      <c r="I31" s="73">
        <v>0.32</v>
      </c>
      <c r="J31" s="73">
        <v>0.36</v>
      </c>
      <c r="K31" s="73">
        <v>0.26</v>
      </c>
      <c r="L31" s="73">
        <v>0.53</v>
      </c>
      <c r="M31" s="73">
        <v>0.1</v>
      </c>
    </row>
    <row r="32" spans="1:13" ht="15.75" thickBot="1" x14ac:dyDescent="0.3">
      <c r="A32" s="93" t="s">
        <v>97</v>
      </c>
      <c r="B32" s="8">
        <v>610</v>
      </c>
      <c r="C32" s="73">
        <v>0.03</v>
      </c>
      <c r="D32" s="8">
        <v>595</v>
      </c>
      <c r="E32" s="8">
        <v>0</v>
      </c>
      <c r="F32" s="8">
        <v>0</v>
      </c>
      <c r="G32" s="8">
        <v>0</v>
      </c>
      <c r="H32" s="8">
        <v>15</v>
      </c>
      <c r="I32" s="73">
        <v>0.97</v>
      </c>
      <c r="J32" s="73">
        <v>0</v>
      </c>
      <c r="K32" s="73">
        <v>0</v>
      </c>
      <c r="L32" s="73">
        <v>0</v>
      </c>
      <c r="M32" s="73">
        <v>0.03</v>
      </c>
    </row>
    <row r="33" spans="1:13" ht="15.75" thickBot="1" x14ac:dyDescent="0.3">
      <c r="A33" s="93" t="s">
        <v>98</v>
      </c>
      <c r="B33" s="8">
        <v>4525</v>
      </c>
      <c r="C33" s="73">
        <v>0.04</v>
      </c>
      <c r="D33" s="8">
        <v>1080</v>
      </c>
      <c r="E33" s="8">
        <v>1810</v>
      </c>
      <c r="F33" s="8">
        <v>1040</v>
      </c>
      <c r="G33" s="8">
        <v>1945</v>
      </c>
      <c r="H33" s="8">
        <v>550</v>
      </c>
      <c r="I33" s="73">
        <v>0.24</v>
      </c>
      <c r="J33" s="73">
        <v>0.4</v>
      </c>
      <c r="K33" s="73">
        <v>0.23</v>
      </c>
      <c r="L33" s="73">
        <v>0.43</v>
      </c>
      <c r="M33" s="73">
        <v>0.12</v>
      </c>
    </row>
    <row r="34" spans="1:13" ht="15.75" thickBot="1" x14ac:dyDescent="0.3">
      <c r="A34" s="93" t="s">
        <v>99</v>
      </c>
      <c r="B34" s="8">
        <v>3785</v>
      </c>
      <c r="C34" s="73">
        <v>0.03</v>
      </c>
      <c r="D34" s="8">
        <v>1070</v>
      </c>
      <c r="E34" s="8">
        <v>1195</v>
      </c>
      <c r="F34" s="8">
        <v>1050</v>
      </c>
      <c r="G34" s="8">
        <v>2510</v>
      </c>
      <c r="H34" s="8">
        <v>450</v>
      </c>
      <c r="I34" s="73">
        <v>0.28000000000000003</v>
      </c>
      <c r="J34" s="73">
        <v>0.32</v>
      </c>
      <c r="K34" s="73">
        <v>0.28000000000000003</v>
      </c>
      <c r="L34" s="73">
        <v>0.66</v>
      </c>
      <c r="M34" s="73">
        <v>0.12</v>
      </c>
    </row>
    <row r="35" spans="1:13" ht="15.75" thickBot="1" x14ac:dyDescent="0.3">
      <c r="A35" s="93" t="s">
        <v>100</v>
      </c>
      <c r="B35" s="8">
        <v>2000</v>
      </c>
      <c r="C35" s="73">
        <v>0.03</v>
      </c>
      <c r="D35" s="8">
        <v>680</v>
      </c>
      <c r="E35" s="8">
        <v>595</v>
      </c>
      <c r="F35" s="8">
        <v>745</v>
      </c>
      <c r="G35" s="8">
        <v>1345</v>
      </c>
      <c r="H35" s="8">
        <v>135</v>
      </c>
      <c r="I35" s="73">
        <v>0.34</v>
      </c>
      <c r="J35" s="73">
        <v>0.3</v>
      </c>
      <c r="K35" s="73">
        <v>0.37</v>
      </c>
      <c r="L35" s="73">
        <v>0.67</v>
      </c>
      <c r="M35" s="73">
        <v>7.0000000000000007E-2</v>
      </c>
    </row>
    <row r="36" spans="1:13" ht="15.75" thickBot="1" x14ac:dyDescent="0.3">
      <c r="A36" s="93" t="s">
        <v>229</v>
      </c>
      <c r="B36" s="8">
        <v>10925</v>
      </c>
      <c r="C36" s="73">
        <v>0.03</v>
      </c>
      <c r="D36" s="8">
        <v>3420</v>
      </c>
      <c r="E36" s="8">
        <v>3595</v>
      </c>
      <c r="F36" s="8">
        <v>2835</v>
      </c>
      <c r="G36" s="8">
        <v>5800</v>
      </c>
      <c r="H36" s="8">
        <v>1150</v>
      </c>
      <c r="I36" s="73">
        <v>0.31</v>
      </c>
      <c r="J36" s="73">
        <v>0.33</v>
      </c>
      <c r="K36" s="73">
        <v>0.26</v>
      </c>
      <c r="L36" s="73">
        <v>0.53</v>
      </c>
      <c r="M36" s="73">
        <v>0.11</v>
      </c>
    </row>
    <row r="37" spans="1:13" ht="15.75" thickBot="1" x14ac:dyDescent="0.3">
      <c r="A37" s="93" t="s">
        <v>101</v>
      </c>
      <c r="B37" s="8">
        <v>550</v>
      </c>
      <c r="C37" s="73">
        <v>0.03</v>
      </c>
      <c r="D37" s="8">
        <v>525</v>
      </c>
      <c r="E37" s="8">
        <v>0</v>
      </c>
      <c r="F37" s="8">
        <v>0</v>
      </c>
      <c r="G37" s="8">
        <v>0</v>
      </c>
      <c r="H37" s="8">
        <v>25</v>
      </c>
      <c r="I37" s="73">
        <v>0.95</v>
      </c>
      <c r="J37" s="73">
        <v>0</v>
      </c>
      <c r="K37" s="73">
        <v>0</v>
      </c>
      <c r="L37" s="73">
        <v>0</v>
      </c>
      <c r="M37" s="73">
        <v>0.05</v>
      </c>
    </row>
    <row r="38" spans="1:13" ht="15.75" thickBot="1" x14ac:dyDescent="0.3">
      <c r="A38" s="93" t="s">
        <v>102</v>
      </c>
      <c r="B38" s="8">
        <v>3825</v>
      </c>
      <c r="C38" s="73">
        <v>0.03</v>
      </c>
      <c r="D38" s="8">
        <v>980</v>
      </c>
      <c r="E38" s="8">
        <v>1535</v>
      </c>
      <c r="F38" s="8">
        <v>765</v>
      </c>
      <c r="G38" s="8">
        <v>1600</v>
      </c>
      <c r="H38" s="8">
        <v>510</v>
      </c>
      <c r="I38" s="73">
        <v>0.26</v>
      </c>
      <c r="J38" s="73">
        <v>0.4</v>
      </c>
      <c r="K38" s="73">
        <v>0.2</v>
      </c>
      <c r="L38" s="73">
        <v>0.42</v>
      </c>
      <c r="M38" s="73">
        <v>0.13</v>
      </c>
    </row>
    <row r="39" spans="1:13" ht="15.75" thickBot="1" x14ac:dyDescent="0.3">
      <c r="A39" s="93" t="s">
        <v>103</v>
      </c>
      <c r="B39" s="8">
        <v>3410</v>
      </c>
      <c r="C39" s="73">
        <v>0.03</v>
      </c>
      <c r="D39" s="8">
        <v>990</v>
      </c>
      <c r="E39" s="8">
        <v>1105</v>
      </c>
      <c r="F39" s="8">
        <v>965</v>
      </c>
      <c r="G39" s="8">
        <v>2280</v>
      </c>
      <c r="H39" s="8">
        <v>385</v>
      </c>
      <c r="I39" s="73">
        <v>0.28999999999999998</v>
      </c>
      <c r="J39" s="73">
        <v>0.32</v>
      </c>
      <c r="K39" s="73">
        <v>0.28000000000000003</v>
      </c>
      <c r="L39" s="73">
        <v>0.67</v>
      </c>
      <c r="M39" s="73">
        <v>0.11</v>
      </c>
    </row>
    <row r="40" spans="1:13" ht="15.75" thickBot="1" x14ac:dyDescent="0.3">
      <c r="A40" s="93" t="s">
        <v>104</v>
      </c>
      <c r="B40" s="8">
        <v>1695</v>
      </c>
      <c r="C40" s="73">
        <v>0.03</v>
      </c>
      <c r="D40" s="8">
        <v>630</v>
      </c>
      <c r="E40" s="8">
        <v>520</v>
      </c>
      <c r="F40" s="8">
        <v>565</v>
      </c>
      <c r="G40" s="8">
        <v>1140</v>
      </c>
      <c r="H40" s="8">
        <v>115</v>
      </c>
      <c r="I40" s="73">
        <v>0.37</v>
      </c>
      <c r="J40" s="73">
        <v>0.31</v>
      </c>
      <c r="K40" s="73">
        <v>0.33</v>
      </c>
      <c r="L40" s="73">
        <v>0.67</v>
      </c>
      <c r="M40" s="73">
        <v>7.0000000000000007E-2</v>
      </c>
    </row>
    <row r="41" spans="1:13" ht="15.75" thickBot="1" x14ac:dyDescent="0.3">
      <c r="A41" s="93" t="s">
        <v>230</v>
      </c>
      <c r="B41" s="8">
        <v>9485</v>
      </c>
      <c r="C41" s="73">
        <v>0.03</v>
      </c>
      <c r="D41" s="8">
        <v>3125</v>
      </c>
      <c r="E41" s="8">
        <v>3155</v>
      </c>
      <c r="F41" s="8">
        <v>2295</v>
      </c>
      <c r="G41" s="8">
        <v>5020</v>
      </c>
      <c r="H41" s="8">
        <v>1035</v>
      </c>
      <c r="I41" s="73">
        <v>0.33</v>
      </c>
      <c r="J41" s="73">
        <v>0.33</v>
      </c>
      <c r="K41" s="73">
        <v>0.24</v>
      </c>
      <c r="L41" s="73">
        <v>0.53</v>
      </c>
      <c r="M41" s="73">
        <v>0.11</v>
      </c>
    </row>
    <row r="42" spans="1:13" ht="15.75" thickBot="1" x14ac:dyDescent="0.3">
      <c r="A42" s="93" t="s">
        <v>105</v>
      </c>
      <c r="B42" s="8">
        <v>175</v>
      </c>
      <c r="C42" s="73">
        <v>0.01</v>
      </c>
      <c r="D42" s="8">
        <v>170</v>
      </c>
      <c r="E42" s="8">
        <v>0</v>
      </c>
      <c r="F42" s="8">
        <v>0</v>
      </c>
      <c r="G42" s="8">
        <v>0</v>
      </c>
      <c r="H42" s="8">
        <v>5</v>
      </c>
      <c r="I42" s="73">
        <v>0.98</v>
      </c>
      <c r="J42" s="73">
        <v>0</v>
      </c>
      <c r="K42" s="73">
        <v>0</v>
      </c>
      <c r="L42" s="73">
        <v>0</v>
      </c>
      <c r="M42" s="73">
        <v>0.02</v>
      </c>
    </row>
    <row r="43" spans="1:13" ht="15.75" thickBot="1" x14ac:dyDescent="0.3">
      <c r="A43" s="93" t="s">
        <v>106</v>
      </c>
      <c r="B43" s="8">
        <v>1210</v>
      </c>
      <c r="C43" s="73">
        <v>0.01</v>
      </c>
      <c r="D43" s="8">
        <v>320</v>
      </c>
      <c r="E43" s="8">
        <v>495</v>
      </c>
      <c r="F43" s="8">
        <v>260</v>
      </c>
      <c r="G43" s="8">
        <v>495</v>
      </c>
      <c r="H43" s="8">
        <v>160</v>
      </c>
      <c r="I43" s="73">
        <v>0.26</v>
      </c>
      <c r="J43" s="73">
        <v>0.41</v>
      </c>
      <c r="K43" s="73">
        <v>0.22</v>
      </c>
      <c r="L43" s="73">
        <v>0.41</v>
      </c>
      <c r="M43" s="73">
        <v>0.13</v>
      </c>
    </row>
    <row r="44" spans="1:13" ht="15.75" thickBot="1" x14ac:dyDescent="0.3">
      <c r="A44" s="93" t="s">
        <v>107</v>
      </c>
      <c r="B44" s="8">
        <v>1210</v>
      </c>
      <c r="C44" s="73">
        <v>0.01</v>
      </c>
      <c r="D44" s="8">
        <v>300</v>
      </c>
      <c r="E44" s="8">
        <v>375</v>
      </c>
      <c r="F44" s="8">
        <v>385</v>
      </c>
      <c r="G44" s="8">
        <v>720</v>
      </c>
      <c r="H44" s="8">
        <v>155</v>
      </c>
      <c r="I44" s="73">
        <v>0.25</v>
      </c>
      <c r="J44" s="73">
        <v>0.31</v>
      </c>
      <c r="K44" s="73">
        <v>0.32</v>
      </c>
      <c r="L44" s="73">
        <v>0.59</v>
      </c>
      <c r="M44" s="73">
        <v>0.13</v>
      </c>
    </row>
    <row r="45" spans="1:13" ht="15.75" thickBot="1" x14ac:dyDescent="0.3">
      <c r="A45" s="93" t="s">
        <v>108</v>
      </c>
      <c r="B45" s="8">
        <v>585</v>
      </c>
      <c r="C45" s="73">
        <v>0.01</v>
      </c>
      <c r="D45" s="8">
        <v>225</v>
      </c>
      <c r="E45" s="8">
        <v>150</v>
      </c>
      <c r="F45" s="8">
        <v>205</v>
      </c>
      <c r="G45" s="8">
        <v>385</v>
      </c>
      <c r="H45" s="8">
        <v>45</v>
      </c>
      <c r="I45" s="73">
        <v>0.39</v>
      </c>
      <c r="J45" s="73">
        <v>0.26</v>
      </c>
      <c r="K45" s="73">
        <v>0.35</v>
      </c>
      <c r="L45" s="73">
        <v>0.66</v>
      </c>
      <c r="M45" s="73">
        <v>0.08</v>
      </c>
    </row>
    <row r="46" spans="1:13" ht="15.75" thickBot="1" x14ac:dyDescent="0.3">
      <c r="A46" s="93" t="s">
        <v>231</v>
      </c>
      <c r="B46" s="8">
        <v>3175</v>
      </c>
      <c r="C46" s="73">
        <v>0.01</v>
      </c>
      <c r="D46" s="8">
        <v>1015</v>
      </c>
      <c r="E46" s="8">
        <v>1020</v>
      </c>
      <c r="F46" s="8">
        <v>850</v>
      </c>
      <c r="G46" s="8">
        <v>1600</v>
      </c>
      <c r="H46" s="8">
        <v>365</v>
      </c>
      <c r="I46" s="73">
        <v>0.32</v>
      </c>
      <c r="J46" s="73">
        <v>0.32</v>
      </c>
      <c r="K46" s="73">
        <v>0.27</v>
      </c>
      <c r="L46" s="73">
        <v>0.5</v>
      </c>
      <c r="M46" s="73">
        <v>0.11</v>
      </c>
    </row>
    <row r="47" spans="1:13" ht="15.75" thickBot="1" x14ac:dyDescent="0.3">
      <c r="A47" s="93" t="s">
        <v>109</v>
      </c>
      <c r="B47" s="8">
        <v>295</v>
      </c>
      <c r="C47" s="73">
        <v>0.02</v>
      </c>
      <c r="D47" s="8">
        <v>285</v>
      </c>
      <c r="E47" s="8">
        <v>0</v>
      </c>
      <c r="F47" s="8">
        <v>0</v>
      </c>
      <c r="G47" s="8">
        <v>0</v>
      </c>
      <c r="H47" s="8">
        <v>10</v>
      </c>
      <c r="I47" s="73">
        <v>0.97</v>
      </c>
      <c r="J47" s="73">
        <v>0</v>
      </c>
      <c r="K47" s="73">
        <v>0</v>
      </c>
      <c r="L47" s="73">
        <v>0</v>
      </c>
      <c r="M47" s="73">
        <v>0.03</v>
      </c>
    </row>
    <row r="48" spans="1:13" ht="15.75" thickBot="1" x14ac:dyDescent="0.3">
      <c r="A48" s="93" t="s">
        <v>110</v>
      </c>
      <c r="B48" s="8">
        <v>2055</v>
      </c>
      <c r="C48" s="73">
        <v>0.02</v>
      </c>
      <c r="D48" s="8">
        <v>480</v>
      </c>
      <c r="E48" s="8">
        <v>815</v>
      </c>
      <c r="F48" s="8">
        <v>510</v>
      </c>
      <c r="G48" s="8">
        <v>825</v>
      </c>
      <c r="H48" s="8">
        <v>260</v>
      </c>
      <c r="I48" s="73">
        <v>0.23</v>
      </c>
      <c r="J48" s="73">
        <v>0.4</v>
      </c>
      <c r="K48" s="73">
        <v>0.25</v>
      </c>
      <c r="L48" s="73">
        <v>0.4</v>
      </c>
      <c r="M48" s="73">
        <v>0.13</v>
      </c>
    </row>
    <row r="49" spans="1:13" ht="15.75" thickBot="1" x14ac:dyDescent="0.3">
      <c r="A49" s="93" t="s">
        <v>111</v>
      </c>
      <c r="B49" s="8">
        <v>1910</v>
      </c>
      <c r="C49" s="73">
        <v>0.02</v>
      </c>
      <c r="D49" s="8">
        <v>520</v>
      </c>
      <c r="E49" s="8">
        <v>610</v>
      </c>
      <c r="F49" s="8">
        <v>595</v>
      </c>
      <c r="G49" s="8">
        <v>1215</v>
      </c>
      <c r="H49" s="8">
        <v>235</v>
      </c>
      <c r="I49" s="73">
        <v>0.27</v>
      </c>
      <c r="J49" s="73">
        <v>0.32</v>
      </c>
      <c r="K49" s="73">
        <v>0.31</v>
      </c>
      <c r="L49" s="73">
        <v>0.64</v>
      </c>
      <c r="M49" s="73">
        <v>0.12</v>
      </c>
    </row>
    <row r="50" spans="1:13" ht="15.75" thickBot="1" x14ac:dyDescent="0.3">
      <c r="A50" s="93" t="s">
        <v>112</v>
      </c>
      <c r="B50" s="8">
        <v>1000</v>
      </c>
      <c r="C50" s="73">
        <v>0.02</v>
      </c>
      <c r="D50" s="8">
        <v>390</v>
      </c>
      <c r="E50" s="8">
        <v>310</v>
      </c>
      <c r="F50" s="8">
        <v>365</v>
      </c>
      <c r="G50" s="8">
        <v>685</v>
      </c>
      <c r="H50" s="8">
        <v>45</v>
      </c>
      <c r="I50" s="73">
        <v>0.39</v>
      </c>
      <c r="J50" s="73">
        <v>0.31</v>
      </c>
      <c r="K50" s="73">
        <v>0.37</v>
      </c>
      <c r="L50" s="73">
        <v>0.69</v>
      </c>
      <c r="M50" s="73">
        <v>0.04</v>
      </c>
    </row>
    <row r="51" spans="1:13" ht="15.75" thickBot="1" x14ac:dyDescent="0.3">
      <c r="A51" s="93" t="s">
        <v>232</v>
      </c>
      <c r="B51" s="8">
        <v>5260</v>
      </c>
      <c r="C51" s="73">
        <v>0.02</v>
      </c>
      <c r="D51" s="8">
        <v>1680</v>
      </c>
      <c r="E51" s="8">
        <v>1735</v>
      </c>
      <c r="F51" s="8">
        <v>1475</v>
      </c>
      <c r="G51" s="8">
        <v>2725</v>
      </c>
      <c r="H51" s="8">
        <v>550</v>
      </c>
      <c r="I51" s="73">
        <v>0.32</v>
      </c>
      <c r="J51" s="73">
        <v>0.33</v>
      </c>
      <c r="K51" s="73">
        <v>0.28000000000000003</v>
      </c>
      <c r="L51" s="73">
        <v>0.52</v>
      </c>
      <c r="M51" s="73">
        <v>0.1</v>
      </c>
    </row>
    <row r="52" spans="1:13" ht="15.75" thickBot="1" x14ac:dyDescent="0.3">
      <c r="A52" s="93" t="s">
        <v>113</v>
      </c>
      <c r="B52" s="8">
        <v>185</v>
      </c>
      <c r="C52" s="73">
        <v>0.01</v>
      </c>
      <c r="D52" s="8">
        <v>180</v>
      </c>
      <c r="E52" s="8">
        <v>0</v>
      </c>
      <c r="F52" s="8">
        <v>0</v>
      </c>
      <c r="G52" s="8">
        <v>0</v>
      </c>
      <c r="H52" s="8">
        <v>10</v>
      </c>
      <c r="I52" s="73">
        <v>0.96</v>
      </c>
      <c r="J52" s="73">
        <v>0</v>
      </c>
      <c r="K52" s="73">
        <v>0</v>
      </c>
      <c r="L52" s="73">
        <v>0</v>
      </c>
      <c r="M52" s="73">
        <v>0.04</v>
      </c>
    </row>
    <row r="53" spans="1:13" ht="15.75" thickBot="1" x14ac:dyDescent="0.3">
      <c r="A53" s="93" t="s">
        <v>114</v>
      </c>
      <c r="B53" s="8">
        <v>1085</v>
      </c>
      <c r="C53" s="73">
        <v>0.01</v>
      </c>
      <c r="D53" s="8">
        <v>260</v>
      </c>
      <c r="E53" s="8">
        <v>445</v>
      </c>
      <c r="F53" s="8">
        <v>255</v>
      </c>
      <c r="G53" s="8">
        <v>410</v>
      </c>
      <c r="H53" s="8">
        <v>140</v>
      </c>
      <c r="I53" s="73">
        <v>0.24</v>
      </c>
      <c r="J53" s="73">
        <v>0.41</v>
      </c>
      <c r="K53" s="73">
        <v>0.23</v>
      </c>
      <c r="L53" s="73">
        <v>0.38</v>
      </c>
      <c r="M53" s="73">
        <v>0.13</v>
      </c>
    </row>
    <row r="54" spans="1:13" ht="15.75" thickBot="1" x14ac:dyDescent="0.3">
      <c r="A54" s="93" t="s">
        <v>115</v>
      </c>
      <c r="B54" s="8">
        <v>1125</v>
      </c>
      <c r="C54" s="73">
        <v>0.01</v>
      </c>
      <c r="D54" s="8">
        <v>315</v>
      </c>
      <c r="E54" s="8">
        <v>355</v>
      </c>
      <c r="F54" s="8">
        <v>340</v>
      </c>
      <c r="G54" s="8">
        <v>725</v>
      </c>
      <c r="H54" s="8">
        <v>120</v>
      </c>
      <c r="I54" s="73">
        <v>0.28000000000000003</v>
      </c>
      <c r="J54" s="73">
        <v>0.32</v>
      </c>
      <c r="K54" s="73">
        <v>0.3</v>
      </c>
      <c r="L54" s="73">
        <v>0.65</v>
      </c>
      <c r="M54" s="73">
        <v>0.11</v>
      </c>
    </row>
    <row r="55" spans="1:13" ht="15.75" thickBot="1" x14ac:dyDescent="0.3">
      <c r="A55" s="93" t="s">
        <v>116</v>
      </c>
      <c r="B55" s="8">
        <v>545</v>
      </c>
      <c r="C55" s="73">
        <v>0.01</v>
      </c>
      <c r="D55" s="8">
        <v>200</v>
      </c>
      <c r="E55" s="8">
        <v>155</v>
      </c>
      <c r="F55" s="8">
        <v>205</v>
      </c>
      <c r="G55" s="8">
        <v>355</v>
      </c>
      <c r="H55" s="8">
        <v>40</v>
      </c>
      <c r="I55" s="73">
        <v>0.36</v>
      </c>
      <c r="J55" s="73">
        <v>0.28999999999999998</v>
      </c>
      <c r="K55" s="73">
        <v>0.37</v>
      </c>
      <c r="L55" s="73">
        <v>0.65</v>
      </c>
      <c r="M55" s="73">
        <v>7.0000000000000007E-2</v>
      </c>
    </row>
    <row r="56" spans="1:13" ht="15.75" thickBot="1" x14ac:dyDescent="0.3">
      <c r="A56" s="93" t="s">
        <v>233</v>
      </c>
      <c r="B56" s="8">
        <v>2940</v>
      </c>
      <c r="C56" s="73">
        <v>0.01</v>
      </c>
      <c r="D56" s="8">
        <v>950</v>
      </c>
      <c r="E56" s="8">
        <v>955</v>
      </c>
      <c r="F56" s="8">
        <v>800</v>
      </c>
      <c r="G56" s="8">
        <v>1490</v>
      </c>
      <c r="H56" s="8">
        <v>305</v>
      </c>
      <c r="I56" s="73">
        <v>0.32</v>
      </c>
      <c r="J56" s="73">
        <v>0.33</v>
      </c>
      <c r="K56" s="73">
        <v>0.27</v>
      </c>
      <c r="L56" s="73">
        <v>0.51</v>
      </c>
      <c r="M56" s="73">
        <v>0.1</v>
      </c>
    </row>
    <row r="57" spans="1:13" ht="15.75" thickBot="1" x14ac:dyDescent="0.3">
      <c r="A57" s="93" t="s">
        <v>117</v>
      </c>
      <c r="B57" s="8">
        <v>1030</v>
      </c>
      <c r="C57" s="73">
        <v>0.05</v>
      </c>
      <c r="D57" s="8">
        <v>995</v>
      </c>
      <c r="E57" s="8">
        <v>0</v>
      </c>
      <c r="F57" s="8">
        <v>0</v>
      </c>
      <c r="G57" s="8">
        <v>0</v>
      </c>
      <c r="H57" s="8">
        <v>35</v>
      </c>
      <c r="I57" s="73">
        <v>0.97</v>
      </c>
      <c r="J57" s="73">
        <v>0</v>
      </c>
      <c r="K57" s="73">
        <v>0</v>
      </c>
      <c r="L57" s="73">
        <v>0</v>
      </c>
      <c r="M57" s="73">
        <v>0.03</v>
      </c>
    </row>
    <row r="58" spans="1:13" ht="15.75" thickBot="1" x14ac:dyDescent="0.3">
      <c r="A58" s="93" t="s">
        <v>118</v>
      </c>
      <c r="B58" s="8">
        <v>7075</v>
      </c>
      <c r="C58" s="73">
        <v>0.06</v>
      </c>
      <c r="D58" s="8">
        <v>1845</v>
      </c>
      <c r="E58" s="8">
        <v>2710</v>
      </c>
      <c r="F58" s="8">
        <v>1550</v>
      </c>
      <c r="G58" s="8">
        <v>3090</v>
      </c>
      <c r="H58" s="8">
        <v>855</v>
      </c>
      <c r="I58" s="73">
        <v>0.26</v>
      </c>
      <c r="J58" s="73">
        <v>0.38</v>
      </c>
      <c r="K58" s="73">
        <v>0.22</v>
      </c>
      <c r="L58" s="73">
        <v>0.44</v>
      </c>
      <c r="M58" s="73">
        <v>0.12</v>
      </c>
    </row>
    <row r="59" spans="1:13" ht="15.75" thickBot="1" x14ac:dyDescent="0.3">
      <c r="A59" s="93" t="s">
        <v>119</v>
      </c>
      <c r="B59" s="8">
        <v>7970</v>
      </c>
      <c r="C59" s="73">
        <v>7.0000000000000007E-2</v>
      </c>
      <c r="D59" s="8">
        <v>2255</v>
      </c>
      <c r="E59" s="8">
        <v>2610</v>
      </c>
      <c r="F59" s="8">
        <v>2245</v>
      </c>
      <c r="G59" s="8">
        <v>5165</v>
      </c>
      <c r="H59" s="8">
        <v>920</v>
      </c>
      <c r="I59" s="73">
        <v>0.28000000000000003</v>
      </c>
      <c r="J59" s="73">
        <v>0.33</v>
      </c>
      <c r="K59" s="73">
        <v>0.28000000000000003</v>
      </c>
      <c r="L59" s="73">
        <v>0.65</v>
      </c>
      <c r="M59" s="73">
        <v>0.12</v>
      </c>
    </row>
    <row r="60" spans="1:13" ht="15.75" thickBot="1" x14ac:dyDescent="0.3">
      <c r="A60" s="93" t="s">
        <v>120</v>
      </c>
      <c r="B60" s="8">
        <v>3810</v>
      </c>
      <c r="C60" s="73">
        <v>7.0000000000000007E-2</v>
      </c>
      <c r="D60" s="8">
        <v>1450</v>
      </c>
      <c r="E60" s="8">
        <v>1110</v>
      </c>
      <c r="F60" s="8">
        <v>1205</v>
      </c>
      <c r="G60" s="8">
        <v>2575</v>
      </c>
      <c r="H60" s="8">
        <v>290</v>
      </c>
      <c r="I60" s="73">
        <v>0.38</v>
      </c>
      <c r="J60" s="73">
        <v>0.28999999999999998</v>
      </c>
      <c r="K60" s="73">
        <v>0.32</v>
      </c>
      <c r="L60" s="73">
        <v>0.68</v>
      </c>
      <c r="M60" s="73">
        <v>0.08</v>
      </c>
    </row>
    <row r="61" spans="1:13" ht="15.75" thickBot="1" x14ac:dyDescent="0.3">
      <c r="A61" s="93" t="s">
        <v>234</v>
      </c>
      <c r="B61" s="8">
        <v>19890</v>
      </c>
      <c r="C61" s="73">
        <v>0.06</v>
      </c>
      <c r="D61" s="8">
        <v>6545</v>
      </c>
      <c r="E61" s="8">
        <v>6435</v>
      </c>
      <c r="F61" s="8">
        <v>5000</v>
      </c>
      <c r="G61" s="8">
        <v>10830</v>
      </c>
      <c r="H61" s="8">
        <v>2100</v>
      </c>
      <c r="I61" s="73">
        <v>0.33</v>
      </c>
      <c r="J61" s="73">
        <v>0.32</v>
      </c>
      <c r="K61" s="73">
        <v>0.25</v>
      </c>
      <c r="L61" s="73">
        <v>0.54</v>
      </c>
      <c r="M61" s="73">
        <v>0.11</v>
      </c>
    </row>
    <row r="62" spans="1:13" ht="15.75" thickBot="1" x14ac:dyDescent="0.3">
      <c r="A62" s="93" t="s">
        <v>121</v>
      </c>
      <c r="B62" s="8">
        <v>525</v>
      </c>
      <c r="C62" s="73">
        <v>0.03</v>
      </c>
      <c r="D62" s="8">
        <v>500</v>
      </c>
      <c r="E62" s="8">
        <v>0</v>
      </c>
      <c r="F62" s="8">
        <v>0</v>
      </c>
      <c r="G62" s="8">
        <v>0</v>
      </c>
      <c r="H62" s="8">
        <v>25</v>
      </c>
      <c r="I62" s="73">
        <v>0.95</v>
      </c>
      <c r="J62" s="73">
        <v>0</v>
      </c>
      <c r="K62" s="73">
        <v>0</v>
      </c>
      <c r="L62" s="73">
        <v>0</v>
      </c>
      <c r="M62" s="73">
        <v>0.05</v>
      </c>
    </row>
    <row r="63" spans="1:13" ht="15.75" thickBot="1" x14ac:dyDescent="0.3">
      <c r="A63" s="93" t="s">
        <v>122</v>
      </c>
      <c r="B63" s="8">
        <v>3545</v>
      </c>
      <c r="C63" s="73">
        <v>0.03</v>
      </c>
      <c r="D63" s="8">
        <v>970</v>
      </c>
      <c r="E63" s="8">
        <v>1385</v>
      </c>
      <c r="F63" s="8">
        <v>765</v>
      </c>
      <c r="G63" s="8">
        <v>1585</v>
      </c>
      <c r="H63" s="8">
        <v>400</v>
      </c>
      <c r="I63" s="73">
        <v>0.27</v>
      </c>
      <c r="J63" s="73">
        <v>0.39</v>
      </c>
      <c r="K63" s="73">
        <v>0.22</v>
      </c>
      <c r="L63" s="73">
        <v>0.45</v>
      </c>
      <c r="M63" s="73">
        <v>0.11</v>
      </c>
    </row>
    <row r="64" spans="1:13" ht="15.75" thickBot="1" x14ac:dyDescent="0.3">
      <c r="A64" s="93" t="s">
        <v>123</v>
      </c>
      <c r="B64" s="8">
        <v>3315</v>
      </c>
      <c r="C64" s="73">
        <v>0.03</v>
      </c>
      <c r="D64" s="8">
        <v>935</v>
      </c>
      <c r="E64" s="8">
        <v>1110</v>
      </c>
      <c r="F64" s="8">
        <v>965</v>
      </c>
      <c r="G64" s="8">
        <v>2210</v>
      </c>
      <c r="H64" s="8">
        <v>350</v>
      </c>
      <c r="I64" s="73">
        <v>0.28000000000000003</v>
      </c>
      <c r="J64" s="73">
        <v>0.33</v>
      </c>
      <c r="K64" s="73">
        <v>0.28999999999999998</v>
      </c>
      <c r="L64" s="73">
        <v>0.67</v>
      </c>
      <c r="M64" s="73">
        <v>0.1</v>
      </c>
    </row>
    <row r="65" spans="1:13" ht="15.75" thickBot="1" x14ac:dyDescent="0.3">
      <c r="A65" s="93" t="s">
        <v>124</v>
      </c>
      <c r="B65" s="8">
        <v>1700</v>
      </c>
      <c r="C65" s="73">
        <v>0.03</v>
      </c>
      <c r="D65" s="8">
        <v>610</v>
      </c>
      <c r="E65" s="8">
        <v>490</v>
      </c>
      <c r="F65" s="8">
        <v>590</v>
      </c>
      <c r="G65" s="8">
        <v>1155</v>
      </c>
      <c r="H65" s="8">
        <v>110</v>
      </c>
      <c r="I65" s="73">
        <v>0.36</v>
      </c>
      <c r="J65" s="73">
        <v>0.28999999999999998</v>
      </c>
      <c r="K65" s="73">
        <v>0.35</v>
      </c>
      <c r="L65" s="73">
        <v>0.68</v>
      </c>
      <c r="M65" s="73">
        <v>7.0000000000000007E-2</v>
      </c>
    </row>
    <row r="66" spans="1:13" ht="15.75" thickBot="1" x14ac:dyDescent="0.3">
      <c r="A66" s="93" t="s">
        <v>235</v>
      </c>
      <c r="B66" s="8">
        <v>9085</v>
      </c>
      <c r="C66" s="73">
        <v>0.03</v>
      </c>
      <c r="D66" s="8">
        <v>3015</v>
      </c>
      <c r="E66" s="8">
        <v>2985</v>
      </c>
      <c r="F66" s="8">
        <v>2320</v>
      </c>
      <c r="G66" s="8">
        <v>4945</v>
      </c>
      <c r="H66" s="8">
        <v>885</v>
      </c>
      <c r="I66" s="73">
        <v>0.33</v>
      </c>
      <c r="J66" s="73">
        <v>0.33</v>
      </c>
      <c r="K66" s="73">
        <v>0.26</v>
      </c>
      <c r="L66" s="73">
        <v>0.54</v>
      </c>
      <c r="M66" s="73">
        <v>0.1</v>
      </c>
    </row>
    <row r="67" spans="1:13" ht="15.75" thickBot="1" x14ac:dyDescent="0.3">
      <c r="A67" s="93" t="s">
        <v>125</v>
      </c>
      <c r="B67" s="8">
        <v>1325</v>
      </c>
      <c r="C67" s="73">
        <v>7.0000000000000007E-2</v>
      </c>
      <c r="D67" s="8">
        <v>1275</v>
      </c>
      <c r="E67" s="8">
        <v>0</v>
      </c>
      <c r="F67" s="8">
        <v>0</v>
      </c>
      <c r="G67" s="8">
        <v>0</v>
      </c>
      <c r="H67" s="8">
        <v>50</v>
      </c>
      <c r="I67" s="73">
        <v>0.96</v>
      </c>
      <c r="J67" s="73">
        <v>0</v>
      </c>
      <c r="K67" s="73">
        <v>0</v>
      </c>
      <c r="L67" s="73">
        <v>0</v>
      </c>
      <c r="M67" s="73">
        <v>0.04</v>
      </c>
    </row>
    <row r="68" spans="1:13" ht="15.75" thickBot="1" x14ac:dyDescent="0.3">
      <c r="A68" s="93" t="s">
        <v>126</v>
      </c>
      <c r="B68" s="8">
        <v>9480</v>
      </c>
      <c r="C68" s="73">
        <v>7.0000000000000007E-2</v>
      </c>
      <c r="D68" s="8">
        <v>2535</v>
      </c>
      <c r="E68" s="8">
        <v>3845</v>
      </c>
      <c r="F68" s="8">
        <v>1980</v>
      </c>
      <c r="G68" s="8">
        <v>4105</v>
      </c>
      <c r="H68" s="8">
        <v>1080</v>
      </c>
      <c r="I68" s="73">
        <v>0.27</v>
      </c>
      <c r="J68" s="73">
        <v>0.41</v>
      </c>
      <c r="K68" s="73">
        <v>0.21</v>
      </c>
      <c r="L68" s="73">
        <v>0.43</v>
      </c>
      <c r="M68" s="73">
        <v>0.11</v>
      </c>
    </row>
    <row r="69" spans="1:13" ht="15.75" thickBot="1" x14ac:dyDescent="0.3">
      <c r="A69" s="93" t="s">
        <v>127</v>
      </c>
      <c r="B69" s="8">
        <v>8500</v>
      </c>
      <c r="C69" s="73">
        <v>7.0000000000000007E-2</v>
      </c>
      <c r="D69" s="8">
        <v>2525</v>
      </c>
      <c r="E69" s="8">
        <v>2820</v>
      </c>
      <c r="F69" s="8">
        <v>2485</v>
      </c>
      <c r="G69" s="8">
        <v>5575</v>
      </c>
      <c r="H69" s="8">
        <v>895</v>
      </c>
      <c r="I69" s="73">
        <v>0.3</v>
      </c>
      <c r="J69" s="73">
        <v>0.33</v>
      </c>
      <c r="K69" s="73">
        <v>0.28999999999999998</v>
      </c>
      <c r="L69" s="73">
        <v>0.66</v>
      </c>
      <c r="M69" s="73">
        <v>0.11</v>
      </c>
    </row>
    <row r="70" spans="1:13" ht="15.75" thickBot="1" x14ac:dyDescent="0.3">
      <c r="A70" s="93" t="s">
        <v>128</v>
      </c>
      <c r="B70" s="8">
        <v>4455</v>
      </c>
      <c r="C70" s="73">
        <v>0.08</v>
      </c>
      <c r="D70" s="8">
        <v>1610</v>
      </c>
      <c r="E70" s="8">
        <v>1440</v>
      </c>
      <c r="F70" s="8">
        <v>1595</v>
      </c>
      <c r="G70" s="8">
        <v>3040</v>
      </c>
      <c r="H70" s="8">
        <v>260</v>
      </c>
      <c r="I70" s="73">
        <v>0.36</v>
      </c>
      <c r="J70" s="73">
        <v>0.32</v>
      </c>
      <c r="K70" s="73">
        <v>0.36</v>
      </c>
      <c r="L70" s="73">
        <v>0.68</v>
      </c>
      <c r="M70" s="73">
        <v>0.06</v>
      </c>
    </row>
    <row r="71" spans="1:13" ht="15.75" thickBot="1" x14ac:dyDescent="0.3">
      <c r="A71" s="93" t="s">
        <v>236</v>
      </c>
      <c r="B71" s="8">
        <v>23760</v>
      </c>
      <c r="C71" s="73">
        <v>7.0000000000000007E-2</v>
      </c>
      <c r="D71" s="8">
        <v>7945</v>
      </c>
      <c r="E71" s="8">
        <v>8105</v>
      </c>
      <c r="F71" s="8">
        <v>6060</v>
      </c>
      <c r="G71" s="8">
        <v>12720</v>
      </c>
      <c r="H71" s="8">
        <v>2285</v>
      </c>
      <c r="I71" s="73">
        <v>0.33</v>
      </c>
      <c r="J71" s="73">
        <v>0.34</v>
      </c>
      <c r="K71" s="73">
        <v>0.26</v>
      </c>
      <c r="L71" s="73">
        <v>0.54</v>
      </c>
      <c r="M71" s="73">
        <v>0.1</v>
      </c>
    </row>
    <row r="72" spans="1:13" ht="15.75" thickBot="1" x14ac:dyDescent="0.3">
      <c r="A72" s="93" t="s">
        <v>129</v>
      </c>
      <c r="B72" s="8">
        <v>2685</v>
      </c>
      <c r="C72" s="73">
        <v>0.14000000000000001</v>
      </c>
      <c r="D72" s="8">
        <v>2570</v>
      </c>
      <c r="E72" s="8">
        <v>0</v>
      </c>
      <c r="F72" s="8">
        <v>0</v>
      </c>
      <c r="G72" s="8">
        <v>0</v>
      </c>
      <c r="H72" s="8">
        <v>115</v>
      </c>
      <c r="I72" s="73">
        <v>0.96</v>
      </c>
      <c r="J72" s="73">
        <v>0</v>
      </c>
      <c r="K72" s="73">
        <v>0</v>
      </c>
      <c r="L72" s="73">
        <v>0</v>
      </c>
      <c r="M72" s="73">
        <v>0.04</v>
      </c>
    </row>
    <row r="73" spans="1:13" ht="15.75" thickBot="1" x14ac:dyDescent="0.3">
      <c r="A73" s="93" t="s">
        <v>130</v>
      </c>
      <c r="B73" s="8">
        <v>21660</v>
      </c>
      <c r="C73" s="73">
        <v>0.17</v>
      </c>
      <c r="D73" s="8">
        <v>5410</v>
      </c>
      <c r="E73" s="8">
        <v>8160</v>
      </c>
      <c r="F73" s="8">
        <v>4700</v>
      </c>
      <c r="G73" s="8">
        <v>8960</v>
      </c>
      <c r="H73" s="8">
        <v>3240</v>
      </c>
      <c r="I73" s="73">
        <v>0.25</v>
      </c>
      <c r="J73" s="73">
        <v>0.38</v>
      </c>
      <c r="K73" s="73">
        <v>0.22</v>
      </c>
      <c r="L73" s="73">
        <v>0.41</v>
      </c>
      <c r="M73" s="73">
        <v>0.15</v>
      </c>
    </row>
    <row r="74" spans="1:13" ht="15.75" thickBot="1" x14ac:dyDescent="0.3">
      <c r="A74" s="93" t="s">
        <v>131</v>
      </c>
      <c r="B74" s="8">
        <v>19675</v>
      </c>
      <c r="C74" s="73">
        <v>0.17</v>
      </c>
      <c r="D74" s="8">
        <v>5465</v>
      </c>
      <c r="E74" s="8">
        <v>6190</v>
      </c>
      <c r="F74" s="8">
        <v>5325</v>
      </c>
      <c r="G74" s="8">
        <v>12575</v>
      </c>
      <c r="H74" s="8">
        <v>2760</v>
      </c>
      <c r="I74" s="73">
        <v>0.28000000000000003</v>
      </c>
      <c r="J74" s="73">
        <v>0.31</v>
      </c>
      <c r="K74" s="73">
        <v>0.27</v>
      </c>
      <c r="L74" s="73">
        <v>0.64</v>
      </c>
      <c r="M74" s="73">
        <v>0.14000000000000001</v>
      </c>
    </row>
    <row r="75" spans="1:13" ht="15.75" thickBot="1" x14ac:dyDescent="0.3">
      <c r="A75" s="93" t="s">
        <v>132</v>
      </c>
      <c r="B75" s="8">
        <v>9890</v>
      </c>
      <c r="C75" s="73">
        <v>0.17</v>
      </c>
      <c r="D75" s="8">
        <v>3545</v>
      </c>
      <c r="E75" s="8">
        <v>2905</v>
      </c>
      <c r="F75" s="8">
        <v>3225</v>
      </c>
      <c r="G75" s="8">
        <v>6515</v>
      </c>
      <c r="H75" s="8">
        <v>995</v>
      </c>
      <c r="I75" s="73">
        <v>0.36</v>
      </c>
      <c r="J75" s="73">
        <v>0.28999999999999998</v>
      </c>
      <c r="K75" s="73">
        <v>0.33</v>
      </c>
      <c r="L75" s="73">
        <v>0.66</v>
      </c>
      <c r="M75" s="73">
        <v>0.1</v>
      </c>
    </row>
    <row r="76" spans="1:13" ht="15.75" thickBot="1" x14ac:dyDescent="0.3">
      <c r="A76" s="93" t="s">
        <v>237</v>
      </c>
      <c r="B76" s="8">
        <v>53910</v>
      </c>
      <c r="C76" s="73">
        <v>0.17</v>
      </c>
      <c r="D76" s="8">
        <v>16990</v>
      </c>
      <c r="E76" s="8">
        <v>17255</v>
      </c>
      <c r="F76" s="8">
        <v>13250</v>
      </c>
      <c r="G76" s="8">
        <v>28050</v>
      </c>
      <c r="H76" s="8">
        <v>7110</v>
      </c>
      <c r="I76" s="73">
        <v>0.32</v>
      </c>
      <c r="J76" s="73">
        <v>0.32</v>
      </c>
      <c r="K76" s="73">
        <v>0.25</v>
      </c>
      <c r="L76" s="73">
        <v>0.52</v>
      </c>
      <c r="M76" s="73">
        <v>0.13</v>
      </c>
    </row>
    <row r="77" spans="1:13" ht="15.75" thickBot="1" x14ac:dyDescent="0.3">
      <c r="A77" s="93" t="s">
        <v>133</v>
      </c>
      <c r="B77" s="8">
        <v>615</v>
      </c>
      <c r="C77" s="73">
        <v>0.03</v>
      </c>
      <c r="D77" s="8">
        <v>600</v>
      </c>
      <c r="E77" s="8">
        <v>0</v>
      </c>
      <c r="F77" s="8">
        <v>0</v>
      </c>
      <c r="G77" s="8">
        <v>0</v>
      </c>
      <c r="H77" s="8">
        <v>20</v>
      </c>
      <c r="I77" s="73">
        <v>0.97</v>
      </c>
      <c r="J77" s="73">
        <v>0</v>
      </c>
      <c r="K77" s="73">
        <v>0</v>
      </c>
      <c r="L77" s="73">
        <v>0</v>
      </c>
      <c r="M77" s="73">
        <v>0.03</v>
      </c>
    </row>
    <row r="78" spans="1:13" ht="15.75" thickBot="1" x14ac:dyDescent="0.3">
      <c r="A78" s="93" t="s">
        <v>134</v>
      </c>
      <c r="B78" s="8">
        <v>3785</v>
      </c>
      <c r="C78" s="73">
        <v>0.03</v>
      </c>
      <c r="D78" s="8">
        <v>1090</v>
      </c>
      <c r="E78" s="8">
        <v>1500</v>
      </c>
      <c r="F78" s="8">
        <v>860</v>
      </c>
      <c r="G78" s="8">
        <v>1565</v>
      </c>
      <c r="H78" s="8">
        <v>395</v>
      </c>
      <c r="I78" s="73">
        <v>0.28999999999999998</v>
      </c>
      <c r="J78" s="73">
        <v>0.4</v>
      </c>
      <c r="K78" s="73">
        <v>0.23</v>
      </c>
      <c r="L78" s="73">
        <v>0.41</v>
      </c>
      <c r="M78" s="73">
        <v>0.1</v>
      </c>
    </row>
    <row r="79" spans="1:13" ht="15.75" thickBot="1" x14ac:dyDescent="0.3">
      <c r="A79" s="93" t="s">
        <v>135</v>
      </c>
      <c r="B79" s="8">
        <v>4145</v>
      </c>
      <c r="C79" s="73">
        <v>0.03</v>
      </c>
      <c r="D79" s="8">
        <v>1205</v>
      </c>
      <c r="E79" s="8">
        <v>1415</v>
      </c>
      <c r="F79" s="8">
        <v>1200</v>
      </c>
      <c r="G79" s="8">
        <v>2700</v>
      </c>
      <c r="H79" s="8">
        <v>490</v>
      </c>
      <c r="I79" s="73">
        <v>0.28999999999999998</v>
      </c>
      <c r="J79" s="73">
        <v>0.34</v>
      </c>
      <c r="K79" s="73">
        <v>0.28999999999999998</v>
      </c>
      <c r="L79" s="73">
        <v>0.65</v>
      </c>
      <c r="M79" s="73">
        <v>0.12</v>
      </c>
    </row>
    <row r="80" spans="1:13" ht="15.75" thickBot="1" x14ac:dyDescent="0.3">
      <c r="A80" s="93" t="s">
        <v>136</v>
      </c>
      <c r="B80" s="8">
        <v>1910</v>
      </c>
      <c r="C80" s="73">
        <v>0.03</v>
      </c>
      <c r="D80" s="8">
        <v>695</v>
      </c>
      <c r="E80" s="8">
        <v>605</v>
      </c>
      <c r="F80" s="8">
        <v>690</v>
      </c>
      <c r="G80" s="8">
        <v>1255</v>
      </c>
      <c r="H80" s="8">
        <v>145</v>
      </c>
      <c r="I80" s="73">
        <v>0.36</v>
      </c>
      <c r="J80" s="73">
        <v>0.32</v>
      </c>
      <c r="K80" s="73">
        <v>0.36</v>
      </c>
      <c r="L80" s="73">
        <v>0.66</v>
      </c>
      <c r="M80" s="73">
        <v>0.08</v>
      </c>
    </row>
    <row r="81" spans="1:13" ht="15.75" thickBot="1" x14ac:dyDescent="0.3">
      <c r="A81" s="93" t="s">
        <v>238</v>
      </c>
      <c r="B81" s="8">
        <v>10455</v>
      </c>
      <c r="C81" s="73">
        <v>0.03</v>
      </c>
      <c r="D81" s="8">
        <v>3585</v>
      </c>
      <c r="E81" s="8">
        <v>3520</v>
      </c>
      <c r="F81" s="8">
        <v>2750</v>
      </c>
      <c r="G81" s="8">
        <v>5525</v>
      </c>
      <c r="H81" s="8">
        <v>1050</v>
      </c>
      <c r="I81" s="73">
        <v>0.34</v>
      </c>
      <c r="J81" s="73">
        <v>0.34</v>
      </c>
      <c r="K81" s="73">
        <v>0.26</v>
      </c>
      <c r="L81" s="73">
        <v>0.53</v>
      </c>
      <c r="M81" s="73">
        <v>0.1</v>
      </c>
    </row>
    <row r="82" spans="1:13" ht="15.75" thickBot="1" x14ac:dyDescent="0.3">
      <c r="A82" s="93" t="s">
        <v>137</v>
      </c>
      <c r="B82" s="8">
        <v>325</v>
      </c>
      <c r="C82" s="73">
        <v>0.02</v>
      </c>
      <c r="D82" s="8">
        <v>315</v>
      </c>
      <c r="E82" s="8">
        <v>0</v>
      </c>
      <c r="F82" s="8">
        <v>0</v>
      </c>
      <c r="G82" s="8">
        <v>0</v>
      </c>
      <c r="H82" s="8">
        <v>10</v>
      </c>
      <c r="I82" s="73">
        <v>0.97</v>
      </c>
      <c r="J82" s="73">
        <v>0</v>
      </c>
      <c r="K82" s="73">
        <v>0</v>
      </c>
      <c r="L82" s="73">
        <v>0</v>
      </c>
      <c r="M82" s="73">
        <v>0.03</v>
      </c>
    </row>
    <row r="83" spans="1:13" ht="15.75" thickBot="1" x14ac:dyDescent="0.3">
      <c r="A83" s="93" t="s">
        <v>138</v>
      </c>
      <c r="B83" s="8">
        <v>2270</v>
      </c>
      <c r="C83" s="73">
        <v>0.02</v>
      </c>
      <c r="D83" s="8">
        <v>515</v>
      </c>
      <c r="E83" s="8">
        <v>845</v>
      </c>
      <c r="F83" s="8">
        <v>470</v>
      </c>
      <c r="G83" s="8">
        <v>940</v>
      </c>
      <c r="H83" s="8">
        <v>350</v>
      </c>
      <c r="I83" s="73">
        <v>0.23</v>
      </c>
      <c r="J83" s="73">
        <v>0.37</v>
      </c>
      <c r="K83" s="73">
        <v>0.21</v>
      </c>
      <c r="L83" s="73">
        <v>0.42</v>
      </c>
      <c r="M83" s="73">
        <v>0.15</v>
      </c>
    </row>
    <row r="84" spans="1:13" ht="15.75" thickBot="1" x14ac:dyDescent="0.3">
      <c r="A84" s="93" t="s">
        <v>139</v>
      </c>
      <c r="B84" s="8">
        <v>1825</v>
      </c>
      <c r="C84" s="73">
        <v>0.02</v>
      </c>
      <c r="D84" s="8">
        <v>525</v>
      </c>
      <c r="E84" s="8">
        <v>560</v>
      </c>
      <c r="F84" s="8">
        <v>455</v>
      </c>
      <c r="G84" s="8">
        <v>1160</v>
      </c>
      <c r="H84" s="8">
        <v>270</v>
      </c>
      <c r="I84" s="73">
        <v>0.28999999999999998</v>
      </c>
      <c r="J84" s="73">
        <v>0.31</v>
      </c>
      <c r="K84" s="73">
        <v>0.25</v>
      </c>
      <c r="L84" s="73">
        <v>0.64</v>
      </c>
      <c r="M84" s="73">
        <v>0.15</v>
      </c>
    </row>
    <row r="85" spans="1:13" ht="15.75" thickBot="1" x14ac:dyDescent="0.3">
      <c r="A85" s="93" t="s">
        <v>140</v>
      </c>
      <c r="B85" s="8">
        <v>910</v>
      </c>
      <c r="C85" s="73">
        <v>0.02</v>
      </c>
      <c r="D85" s="8">
        <v>350</v>
      </c>
      <c r="E85" s="8">
        <v>275</v>
      </c>
      <c r="F85" s="8">
        <v>305</v>
      </c>
      <c r="G85" s="8">
        <v>640</v>
      </c>
      <c r="H85" s="8">
        <v>50</v>
      </c>
      <c r="I85" s="73">
        <v>0.38</v>
      </c>
      <c r="J85" s="73">
        <v>0.3</v>
      </c>
      <c r="K85" s="73">
        <v>0.34</v>
      </c>
      <c r="L85" s="73">
        <v>0.7</v>
      </c>
      <c r="M85" s="73">
        <v>0.06</v>
      </c>
    </row>
    <row r="86" spans="1:13" ht="15.75" thickBot="1" x14ac:dyDescent="0.3">
      <c r="A86" s="93" t="s">
        <v>239</v>
      </c>
      <c r="B86" s="8">
        <v>5325</v>
      </c>
      <c r="C86" s="73">
        <v>0.02</v>
      </c>
      <c r="D86" s="8">
        <v>1705</v>
      </c>
      <c r="E86" s="8">
        <v>1680</v>
      </c>
      <c r="F86" s="8">
        <v>1230</v>
      </c>
      <c r="G86" s="8">
        <v>2740</v>
      </c>
      <c r="H86" s="8">
        <v>680</v>
      </c>
      <c r="I86" s="73">
        <v>0.32</v>
      </c>
      <c r="J86" s="73">
        <v>0.32</v>
      </c>
      <c r="K86" s="73">
        <v>0.23</v>
      </c>
      <c r="L86" s="73">
        <v>0.51</v>
      </c>
      <c r="M86" s="73">
        <v>0.13</v>
      </c>
    </row>
    <row r="87" spans="1:13" ht="15.75" thickBot="1" x14ac:dyDescent="0.3">
      <c r="A87" s="93" t="s">
        <v>141</v>
      </c>
      <c r="B87" s="8">
        <v>340</v>
      </c>
      <c r="C87" s="73">
        <v>0.02</v>
      </c>
      <c r="D87" s="8">
        <v>330</v>
      </c>
      <c r="E87" s="8">
        <v>0</v>
      </c>
      <c r="F87" s="8">
        <v>0</v>
      </c>
      <c r="G87" s="8">
        <v>0</v>
      </c>
      <c r="H87" s="8">
        <v>10</v>
      </c>
      <c r="I87" s="73">
        <v>0.97</v>
      </c>
      <c r="J87" s="73">
        <v>0</v>
      </c>
      <c r="K87" s="73">
        <v>0</v>
      </c>
      <c r="L87" s="73">
        <v>0</v>
      </c>
      <c r="M87" s="73">
        <v>0.03</v>
      </c>
    </row>
    <row r="88" spans="1:13" ht="15.75" thickBot="1" x14ac:dyDescent="0.3">
      <c r="A88" s="93" t="s">
        <v>142</v>
      </c>
      <c r="B88" s="8">
        <v>2240</v>
      </c>
      <c r="C88" s="73">
        <v>0.02</v>
      </c>
      <c r="D88" s="8">
        <v>570</v>
      </c>
      <c r="E88" s="8">
        <v>965</v>
      </c>
      <c r="F88" s="8">
        <v>500</v>
      </c>
      <c r="G88" s="8">
        <v>950</v>
      </c>
      <c r="H88" s="8">
        <v>270</v>
      </c>
      <c r="I88" s="73">
        <v>0.25</v>
      </c>
      <c r="J88" s="73">
        <v>0.43</v>
      </c>
      <c r="K88" s="73">
        <v>0.22</v>
      </c>
      <c r="L88" s="73">
        <v>0.42</v>
      </c>
      <c r="M88" s="73">
        <v>0.12</v>
      </c>
    </row>
    <row r="89" spans="1:13" ht="15.75" thickBot="1" x14ac:dyDescent="0.3">
      <c r="A89" s="93" t="s">
        <v>143</v>
      </c>
      <c r="B89" s="8">
        <v>2230</v>
      </c>
      <c r="C89" s="73">
        <v>0.02</v>
      </c>
      <c r="D89" s="8">
        <v>615</v>
      </c>
      <c r="E89" s="8">
        <v>745</v>
      </c>
      <c r="F89" s="8">
        <v>655</v>
      </c>
      <c r="G89" s="8">
        <v>1460</v>
      </c>
      <c r="H89" s="8">
        <v>280</v>
      </c>
      <c r="I89" s="73">
        <v>0.28000000000000003</v>
      </c>
      <c r="J89" s="73">
        <v>0.33</v>
      </c>
      <c r="K89" s="73">
        <v>0.28999999999999998</v>
      </c>
      <c r="L89" s="73">
        <v>0.66</v>
      </c>
      <c r="M89" s="73">
        <v>0.13</v>
      </c>
    </row>
    <row r="90" spans="1:13" ht="15.75" thickBot="1" x14ac:dyDescent="0.3">
      <c r="A90" s="93" t="s">
        <v>144</v>
      </c>
      <c r="B90" s="8">
        <v>1200</v>
      </c>
      <c r="C90" s="73">
        <v>0.02</v>
      </c>
      <c r="D90" s="8">
        <v>410</v>
      </c>
      <c r="E90" s="8">
        <v>330</v>
      </c>
      <c r="F90" s="8">
        <v>450</v>
      </c>
      <c r="G90" s="8">
        <v>790</v>
      </c>
      <c r="H90" s="8">
        <v>85</v>
      </c>
      <c r="I90" s="73">
        <v>0.34</v>
      </c>
      <c r="J90" s="73">
        <v>0.28000000000000003</v>
      </c>
      <c r="K90" s="73">
        <v>0.37</v>
      </c>
      <c r="L90" s="73">
        <v>0.66</v>
      </c>
      <c r="M90" s="73">
        <v>7.0000000000000007E-2</v>
      </c>
    </row>
    <row r="91" spans="1:13" ht="15.75" thickBot="1" x14ac:dyDescent="0.3">
      <c r="A91" s="93" t="s">
        <v>240</v>
      </c>
      <c r="B91" s="8">
        <v>6010</v>
      </c>
      <c r="C91" s="73">
        <v>0.02</v>
      </c>
      <c r="D91" s="8">
        <v>1930</v>
      </c>
      <c r="E91" s="8">
        <v>2045</v>
      </c>
      <c r="F91" s="8">
        <v>1605</v>
      </c>
      <c r="G91" s="8">
        <v>3200</v>
      </c>
      <c r="H91" s="8">
        <v>650</v>
      </c>
      <c r="I91" s="73">
        <v>0.32</v>
      </c>
      <c r="J91" s="73">
        <v>0.34</v>
      </c>
      <c r="K91" s="73">
        <v>0.27</v>
      </c>
      <c r="L91" s="73">
        <v>0.53</v>
      </c>
      <c r="M91" s="73">
        <v>0.11</v>
      </c>
    </row>
    <row r="92" spans="1:13" ht="15.75" thickBot="1" x14ac:dyDescent="0.3">
      <c r="A92" s="93" t="s">
        <v>145</v>
      </c>
      <c r="B92" s="8">
        <v>280</v>
      </c>
      <c r="C92" s="73">
        <v>0.01</v>
      </c>
      <c r="D92" s="8">
        <v>265</v>
      </c>
      <c r="E92" s="8">
        <v>0</v>
      </c>
      <c r="F92" s="8">
        <v>0</v>
      </c>
      <c r="G92" s="8">
        <v>0</v>
      </c>
      <c r="H92" s="8">
        <v>15</v>
      </c>
      <c r="I92" s="73">
        <v>0.95</v>
      </c>
      <c r="J92" s="73">
        <v>0</v>
      </c>
      <c r="K92" s="73">
        <v>0</v>
      </c>
      <c r="L92" s="73">
        <v>0</v>
      </c>
      <c r="M92" s="73">
        <v>0.05</v>
      </c>
    </row>
    <row r="93" spans="1:13" ht="15.75" thickBot="1" x14ac:dyDescent="0.3">
      <c r="A93" s="93" t="s">
        <v>146</v>
      </c>
      <c r="B93" s="8">
        <v>1595</v>
      </c>
      <c r="C93" s="73">
        <v>0.01</v>
      </c>
      <c r="D93" s="8">
        <v>435</v>
      </c>
      <c r="E93" s="8">
        <v>630</v>
      </c>
      <c r="F93" s="8">
        <v>355</v>
      </c>
      <c r="G93" s="8">
        <v>695</v>
      </c>
      <c r="H93" s="8">
        <v>195</v>
      </c>
      <c r="I93" s="73">
        <v>0.27</v>
      </c>
      <c r="J93" s="73">
        <v>0.4</v>
      </c>
      <c r="K93" s="73">
        <v>0.22</v>
      </c>
      <c r="L93" s="73">
        <v>0.44</v>
      </c>
      <c r="M93" s="73">
        <v>0.12</v>
      </c>
    </row>
    <row r="94" spans="1:13" ht="15.75" thickBot="1" x14ac:dyDescent="0.3">
      <c r="A94" s="93" t="s">
        <v>147</v>
      </c>
      <c r="B94" s="8">
        <v>1655</v>
      </c>
      <c r="C94" s="73">
        <v>0.01</v>
      </c>
      <c r="D94" s="8">
        <v>470</v>
      </c>
      <c r="E94" s="8">
        <v>525</v>
      </c>
      <c r="F94" s="8">
        <v>525</v>
      </c>
      <c r="G94" s="8">
        <v>1105</v>
      </c>
      <c r="H94" s="8">
        <v>165</v>
      </c>
      <c r="I94" s="73">
        <v>0.28000000000000003</v>
      </c>
      <c r="J94" s="73">
        <v>0.32</v>
      </c>
      <c r="K94" s="73">
        <v>0.32</v>
      </c>
      <c r="L94" s="73">
        <v>0.67</v>
      </c>
      <c r="M94" s="73">
        <v>0.1</v>
      </c>
    </row>
    <row r="95" spans="1:13" ht="15.75" thickBot="1" x14ac:dyDescent="0.3">
      <c r="A95" s="93" t="s">
        <v>148</v>
      </c>
      <c r="B95" s="8">
        <v>810</v>
      </c>
      <c r="C95" s="73">
        <v>0.01</v>
      </c>
      <c r="D95" s="8">
        <v>285</v>
      </c>
      <c r="E95" s="8">
        <v>255</v>
      </c>
      <c r="F95" s="8">
        <v>270</v>
      </c>
      <c r="G95" s="8">
        <v>570</v>
      </c>
      <c r="H95" s="8">
        <v>40</v>
      </c>
      <c r="I95" s="73">
        <v>0.35</v>
      </c>
      <c r="J95" s="73">
        <v>0.31</v>
      </c>
      <c r="K95" s="73">
        <v>0.33</v>
      </c>
      <c r="L95" s="73">
        <v>0.7</v>
      </c>
      <c r="M95" s="73">
        <v>0.05</v>
      </c>
    </row>
    <row r="96" spans="1:13" ht="15.75" thickBot="1" x14ac:dyDescent="0.3">
      <c r="A96" s="93" t="s">
        <v>241</v>
      </c>
      <c r="B96" s="8">
        <v>4340</v>
      </c>
      <c r="C96" s="73">
        <v>0.01</v>
      </c>
      <c r="D96" s="8">
        <v>1455</v>
      </c>
      <c r="E96" s="8">
        <v>1410</v>
      </c>
      <c r="F96" s="8">
        <v>1155</v>
      </c>
      <c r="G96" s="8">
        <v>2370</v>
      </c>
      <c r="H96" s="8">
        <v>415</v>
      </c>
      <c r="I96" s="73">
        <v>0.34</v>
      </c>
      <c r="J96" s="73">
        <v>0.33</v>
      </c>
      <c r="K96" s="73">
        <v>0.27</v>
      </c>
      <c r="L96" s="73">
        <v>0.55000000000000004</v>
      </c>
      <c r="M96" s="73">
        <v>0.1</v>
      </c>
    </row>
    <row r="97" spans="1:13" ht="15.75" thickBot="1" x14ac:dyDescent="0.3">
      <c r="A97" s="93" t="s">
        <v>149</v>
      </c>
      <c r="B97" s="8">
        <v>55</v>
      </c>
      <c r="C97" s="73">
        <v>0</v>
      </c>
      <c r="D97" s="8">
        <v>55</v>
      </c>
      <c r="E97" s="8">
        <v>0</v>
      </c>
      <c r="F97" s="8">
        <v>0</v>
      </c>
      <c r="G97" s="8">
        <v>0</v>
      </c>
      <c r="H97" s="8">
        <v>0</v>
      </c>
      <c r="I97" s="73">
        <v>1</v>
      </c>
      <c r="J97" s="73">
        <v>0</v>
      </c>
      <c r="K97" s="73">
        <v>0</v>
      </c>
      <c r="L97" s="73">
        <v>0</v>
      </c>
      <c r="M97" s="8">
        <v>0</v>
      </c>
    </row>
    <row r="98" spans="1:13" ht="15.75" thickBot="1" x14ac:dyDescent="0.3">
      <c r="A98" s="93" t="s">
        <v>150</v>
      </c>
      <c r="B98" s="8">
        <v>345</v>
      </c>
      <c r="C98" s="73">
        <v>0</v>
      </c>
      <c r="D98" s="8">
        <v>110</v>
      </c>
      <c r="E98" s="8">
        <v>140</v>
      </c>
      <c r="F98" s="8">
        <v>75</v>
      </c>
      <c r="G98" s="8">
        <v>135</v>
      </c>
      <c r="H98" s="8">
        <v>40</v>
      </c>
      <c r="I98" s="73">
        <v>0.32</v>
      </c>
      <c r="J98" s="73">
        <v>0.4</v>
      </c>
      <c r="K98" s="73">
        <v>0.21</v>
      </c>
      <c r="L98" s="73">
        <v>0.4</v>
      </c>
      <c r="M98" s="73">
        <v>0.12</v>
      </c>
    </row>
    <row r="99" spans="1:13" ht="15.75" thickBot="1" x14ac:dyDescent="0.3">
      <c r="A99" s="93" t="s">
        <v>151</v>
      </c>
      <c r="B99" s="8">
        <v>370</v>
      </c>
      <c r="C99" s="73">
        <v>0</v>
      </c>
      <c r="D99" s="8">
        <v>110</v>
      </c>
      <c r="E99" s="8">
        <v>125</v>
      </c>
      <c r="F99" s="8">
        <v>105</v>
      </c>
      <c r="G99" s="8">
        <v>245</v>
      </c>
      <c r="H99" s="8">
        <v>45</v>
      </c>
      <c r="I99" s="73">
        <v>0.3</v>
      </c>
      <c r="J99" s="73">
        <v>0.34</v>
      </c>
      <c r="K99" s="73">
        <v>0.28000000000000003</v>
      </c>
      <c r="L99" s="73">
        <v>0.67</v>
      </c>
      <c r="M99" s="73">
        <v>0.12</v>
      </c>
    </row>
    <row r="100" spans="1:13" ht="15.75" thickBot="1" x14ac:dyDescent="0.3">
      <c r="A100" s="93" t="s">
        <v>152</v>
      </c>
      <c r="B100" s="8">
        <v>150</v>
      </c>
      <c r="C100" s="73">
        <v>0</v>
      </c>
      <c r="D100" s="8">
        <v>45</v>
      </c>
      <c r="E100" s="8">
        <v>50</v>
      </c>
      <c r="F100" s="8">
        <v>60</v>
      </c>
      <c r="G100" s="8">
        <v>100</v>
      </c>
      <c r="H100" s="8">
        <v>5</v>
      </c>
      <c r="I100" s="73">
        <v>0.28999999999999998</v>
      </c>
      <c r="J100" s="73">
        <v>0.33</v>
      </c>
      <c r="K100" s="73">
        <v>0.39</v>
      </c>
      <c r="L100" s="73">
        <v>0.67</v>
      </c>
      <c r="M100" s="73">
        <v>0.04</v>
      </c>
    </row>
    <row r="101" spans="1:13" ht="15.75" thickBot="1" x14ac:dyDescent="0.3">
      <c r="A101" s="93" t="s">
        <v>242</v>
      </c>
      <c r="B101" s="8">
        <v>925</v>
      </c>
      <c r="C101" s="73">
        <v>0</v>
      </c>
      <c r="D101" s="8">
        <v>325</v>
      </c>
      <c r="E101" s="8">
        <v>315</v>
      </c>
      <c r="F101" s="8">
        <v>240</v>
      </c>
      <c r="G101" s="8">
        <v>485</v>
      </c>
      <c r="H101" s="8">
        <v>95</v>
      </c>
      <c r="I101" s="73">
        <v>0.35</v>
      </c>
      <c r="J101" s="73">
        <v>0.34</v>
      </c>
      <c r="K101" s="73">
        <v>0.26</v>
      </c>
      <c r="L101" s="73">
        <v>0.53</v>
      </c>
      <c r="M101" s="73">
        <v>0.1</v>
      </c>
    </row>
    <row r="102" spans="1:13" ht="15.75" thickBot="1" x14ac:dyDescent="0.3">
      <c r="A102" s="93" t="s">
        <v>153</v>
      </c>
      <c r="B102" s="8">
        <v>45</v>
      </c>
      <c r="C102" s="73">
        <v>0</v>
      </c>
      <c r="D102" s="8">
        <v>35</v>
      </c>
      <c r="E102" s="8">
        <v>0</v>
      </c>
      <c r="F102" s="8">
        <v>0</v>
      </c>
      <c r="G102" s="8">
        <v>0</v>
      </c>
      <c r="H102" s="8">
        <v>10</v>
      </c>
      <c r="I102" s="73">
        <v>0.77</v>
      </c>
      <c r="J102" s="73">
        <v>0</v>
      </c>
      <c r="K102" s="73">
        <v>0</v>
      </c>
      <c r="L102" s="73">
        <v>0</v>
      </c>
      <c r="M102" s="73">
        <v>0.23</v>
      </c>
    </row>
    <row r="103" spans="1:13" ht="15.75" thickBot="1" x14ac:dyDescent="0.3">
      <c r="A103" s="93" t="s">
        <v>154</v>
      </c>
      <c r="B103" s="8">
        <v>160</v>
      </c>
      <c r="C103" s="73">
        <v>0</v>
      </c>
      <c r="D103" s="8">
        <v>65</v>
      </c>
      <c r="E103" s="8">
        <v>50</v>
      </c>
      <c r="F103" s="8">
        <v>25</v>
      </c>
      <c r="G103" s="8">
        <v>70</v>
      </c>
      <c r="H103" s="8">
        <v>25</v>
      </c>
      <c r="I103" s="73">
        <v>0.4</v>
      </c>
      <c r="J103" s="73">
        <v>0.33</v>
      </c>
      <c r="K103" s="73">
        <v>0.14000000000000001</v>
      </c>
      <c r="L103" s="73">
        <v>0.43</v>
      </c>
      <c r="M103" s="73">
        <v>0.16</v>
      </c>
    </row>
    <row r="104" spans="1:13" ht="15.75" thickBot="1" x14ac:dyDescent="0.3">
      <c r="A104" s="93" t="s">
        <v>155</v>
      </c>
      <c r="B104" s="8">
        <v>130</v>
      </c>
      <c r="C104" s="73">
        <v>0</v>
      </c>
      <c r="D104" s="8">
        <v>35</v>
      </c>
      <c r="E104" s="8">
        <v>35</v>
      </c>
      <c r="F104" s="8">
        <v>25</v>
      </c>
      <c r="G104" s="8">
        <v>80</v>
      </c>
      <c r="H104" s="8">
        <v>30</v>
      </c>
      <c r="I104" s="73">
        <v>0.27</v>
      </c>
      <c r="J104" s="73">
        <v>0.28000000000000003</v>
      </c>
      <c r="K104" s="73">
        <v>0.17</v>
      </c>
      <c r="L104" s="73">
        <v>0.59</v>
      </c>
      <c r="M104" s="73">
        <v>0.23</v>
      </c>
    </row>
    <row r="105" spans="1:13" ht="15.75" thickBot="1" x14ac:dyDescent="0.3">
      <c r="A105" s="93" t="s">
        <v>156</v>
      </c>
      <c r="B105" s="8">
        <v>215</v>
      </c>
      <c r="C105" s="73">
        <v>0</v>
      </c>
      <c r="D105" s="8">
        <v>90</v>
      </c>
      <c r="E105" s="8">
        <v>50</v>
      </c>
      <c r="F105" s="8">
        <v>55</v>
      </c>
      <c r="G105" s="8">
        <v>150</v>
      </c>
      <c r="H105" s="8">
        <v>15</v>
      </c>
      <c r="I105" s="73">
        <v>0.41</v>
      </c>
      <c r="J105" s="73">
        <v>0.24</v>
      </c>
      <c r="K105" s="73">
        <v>0.26</v>
      </c>
      <c r="L105" s="73">
        <v>0.7</v>
      </c>
      <c r="M105" s="73">
        <v>7.0000000000000007E-2</v>
      </c>
    </row>
    <row r="106" spans="1:13" ht="15.75" thickBot="1" x14ac:dyDescent="0.3">
      <c r="A106" s="93" t="s">
        <v>243</v>
      </c>
      <c r="B106" s="8">
        <v>555</v>
      </c>
      <c r="C106" s="73">
        <v>0</v>
      </c>
      <c r="D106" s="8">
        <v>225</v>
      </c>
      <c r="E106" s="8">
        <v>140</v>
      </c>
      <c r="F106" s="8">
        <v>100</v>
      </c>
      <c r="G106" s="8">
        <v>300</v>
      </c>
      <c r="H106" s="8">
        <v>85</v>
      </c>
      <c r="I106" s="73">
        <v>0.4</v>
      </c>
      <c r="J106" s="73">
        <v>0.25</v>
      </c>
      <c r="K106" s="73">
        <v>0.18</v>
      </c>
      <c r="L106" s="73">
        <v>0.54</v>
      </c>
      <c r="M106" s="73">
        <v>0.15</v>
      </c>
    </row>
    <row r="107" spans="1:13" ht="15.75" thickBot="1" x14ac:dyDescent="0.3">
      <c r="A107" s="93" t="s">
        <v>218</v>
      </c>
      <c r="B107" s="8">
        <v>1915</v>
      </c>
      <c r="C107" s="73">
        <v>0.1</v>
      </c>
      <c r="D107" s="8">
        <v>1865</v>
      </c>
      <c r="E107" s="8">
        <v>0</v>
      </c>
      <c r="F107" s="8">
        <v>0</v>
      </c>
      <c r="G107" s="8">
        <v>0</v>
      </c>
      <c r="H107" s="8">
        <v>55</v>
      </c>
      <c r="I107" s="73">
        <v>0.97</v>
      </c>
      <c r="J107" s="73">
        <v>0</v>
      </c>
      <c r="K107" s="73">
        <v>0</v>
      </c>
      <c r="L107" s="73">
        <v>0</v>
      </c>
      <c r="M107" s="73">
        <v>0.03</v>
      </c>
    </row>
    <row r="108" spans="1:13" ht="15.75" thickBot="1" x14ac:dyDescent="0.3">
      <c r="A108" s="93" t="s">
        <v>219</v>
      </c>
      <c r="B108" s="8">
        <v>6345</v>
      </c>
      <c r="C108" s="73">
        <v>0.05</v>
      </c>
      <c r="D108" s="8">
        <v>3770</v>
      </c>
      <c r="E108" s="8">
        <v>1555</v>
      </c>
      <c r="F108" s="8">
        <v>565</v>
      </c>
      <c r="G108" s="8">
        <v>3600</v>
      </c>
      <c r="H108" s="8">
        <v>535</v>
      </c>
      <c r="I108" s="73">
        <v>0.59</v>
      </c>
      <c r="J108" s="73">
        <v>0.24</v>
      </c>
      <c r="K108" s="73">
        <v>0.09</v>
      </c>
      <c r="L108" s="73">
        <v>0.56999999999999995</v>
      </c>
      <c r="M108" s="73">
        <v>0.08</v>
      </c>
    </row>
    <row r="109" spans="1:13" ht="15.75" thickBot="1" x14ac:dyDescent="0.3">
      <c r="A109" s="93" t="s">
        <v>220</v>
      </c>
      <c r="B109" s="8">
        <v>2070</v>
      </c>
      <c r="C109" s="73">
        <v>0.02</v>
      </c>
      <c r="D109" s="8">
        <v>1170</v>
      </c>
      <c r="E109" s="8">
        <v>510</v>
      </c>
      <c r="F109" s="8">
        <v>165</v>
      </c>
      <c r="G109" s="8">
        <v>1745</v>
      </c>
      <c r="H109" s="8">
        <v>170</v>
      </c>
      <c r="I109" s="73">
        <v>0.56000000000000005</v>
      </c>
      <c r="J109" s="73">
        <v>0.25</v>
      </c>
      <c r="K109" s="73">
        <v>0.08</v>
      </c>
      <c r="L109" s="73">
        <v>0.84</v>
      </c>
      <c r="M109" s="73">
        <v>0.08</v>
      </c>
    </row>
    <row r="110" spans="1:13" ht="15.75" thickBot="1" x14ac:dyDescent="0.3">
      <c r="A110" s="93" t="s">
        <v>221</v>
      </c>
      <c r="B110" s="8">
        <v>200</v>
      </c>
      <c r="C110" s="73">
        <v>0</v>
      </c>
      <c r="D110" s="8">
        <v>90</v>
      </c>
      <c r="E110" s="8">
        <v>55</v>
      </c>
      <c r="F110" s="8">
        <v>30</v>
      </c>
      <c r="G110" s="8">
        <v>165</v>
      </c>
      <c r="H110" s="8">
        <v>15</v>
      </c>
      <c r="I110" s="73">
        <v>0.45</v>
      </c>
      <c r="J110" s="73">
        <v>0.27</v>
      </c>
      <c r="K110" s="73">
        <v>0.16</v>
      </c>
      <c r="L110" s="73">
        <v>0.83</v>
      </c>
      <c r="M110" s="73">
        <v>0.08</v>
      </c>
    </row>
    <row r="111" spans="1:13" ht="15.75" thickBot="1" x14ac:dyDescent="0.3">
      <c r="A111" s="93" t="s">
        <v>257</v>
      </c>
      <c r="B111" s="8">
        <v>10530</v>
      </c>
      <c r="C111" s="73">
        <v>0.03</v>
      </c>
      <c r="D111" s="8">
        <v>6890</v>
      </c>
      <c r="E111" s="8">
        <v>2115</v>
      </c>
      <c r="F111" s="8">
        <v>765</v>
      </c>
      <c r="G111" s="8">
        <v>5510</v>
      </c>
      <c r="H111" s="8">
        <v>775</v>
      </c>
      <c r="I111" s="73">
        <v>0.65</v>
      </c>
      <c r="J111" s="73">
        <v>0.2</v>
      </c>
      <c r="K111" s="73">
        <v>7.0000000000000007E-2</v>
      </c>
      <c r="L111" s="73">
        <v>0.52</v>
      </c>
      <c r="M111" s="73">
        <v>7.0000000000000007E-2</v>
      </c>
    </row>
    <row r="112" spans="1:13" ht="15.75" thickBot="1" x14ac:dyDescent="0.3">
      <c r="A112" s="93" t="s">
        <v>157</v>
      </c>
      <c r="B112" s="8">
        <v>515</v>
      </c>
      <c r="C112" s="73">
        <v>0.03</v>
      </c>
      <c r="D112" s="8">
        <v>490</v>
      </c>
      <c r="E112" s="8">
        <v>0</v>
      </c>
      <c r="F112" s="8">
        <v>0</v>
      </c>
      <c r="G112" s="8">
        <v>0</v>
      </c>
      <c r="H112" s="8">
        <v>20</v>
      </c>
      <c r="I112" s="73">
        <v>0.96</v>
      </c>
      <c r="J112" s="73">
        <v>0</v>
      </c>
      <c r="K112" s="73">
        <v>0</v>
      </c>
      <c r="L112" s="73">
        <v>0</v>
      </c>
      <c r="M112" s="73">
        <v>0.04</v>
      </c>
    </row>
    <row r="113" spans="1:13" ht="15.75" thickBot="1" x14ac:dyDescent="0.3">
      <c r="A113" s="93" t="s">
        <v>158</v>
      </c>
      <c r="B113" s="8">
        <v>4460</v>
      </c>
      <c r="C113" s="73">
        <v>0.03</v>
      </c>
      <c r="D113" s="8">
        <v>1120</v>
      </c>
      <c r="E113" s="8">
        <v>1780</v>
      </c>
      <c r="F113" s="8">
        <v>905</v>
      </c>
      <c r="G113" s="8">
        <v>1865</v>
      </c>
      <c r="H113" s="8">
        <v>605</v>
      </c>
      <c r="I113" s="73">
        <v>0.25</v>
      </c>
      <c r="J113" s="73">
        <v>0.4</v>
      </c>
      <c r="K113" s="73">
        <v>0.2</v>
      </c>
      <c r="L113" s="73">
        <v>0.42</v>
      </c>
      <c r="M113" s="73">
        <v>0.14000000000000001</v>
      </c>
    </row>
    <row r="114" spans="1:13" ht="15.75" thickBot="1" x14ac:dyDescent="0.3">
      <c r="A114" s="93" t="s">
        <v>159</v>
      </c>
      <c r="B114" s="8">
        <v>3745</v>
      </c>
      <c r="C114" s="73">
        <v>0.03</v>
      </c>
      <c r="D114" s="8">
        <v>1080</v>
      </c>
      <c r="E114" s="8">
        <v>1200</v>
      </c>
      <c r="F114" s="8">
        <v>1040</v>
      </c>
      <c r="G114" s="8">
        <v>2410</v>
      </c>
      <c r="H114" s="8">
        <v>455</v>
      </c>
      <c r="I114" s="73">
        <v>0.28999999999999998</v>
      </c>
      <c r="J114" s="73">
        <v>0.32</v>
      </c>
      <c r="K114" s="73">
        <v>0.28000000000000003</v>
      </c>
      <c r="L114" s="73">
        <v>0.64</v>
      </c>
      <c r="M114" s="73">
        <v>0.12</v>
      </c>
    </row>
    <row r="115" spans="1:13" ht="15.75" thickBot="1" x14ac:dyDescent="0.3">
      <c r="A115" s="93" t="s">
        <v>160</v>
      </c>
      <c r="B115" s="8">
        <v>1935</v>
      </c>
      <c r="C115" s="73">
        <v>0.03</v>
      </c>
      <c r="D115" s="8">
        <v>705</v>
      </c>
      <c r="E115" s="8">
        <v>555</v>
      </c>
      <c r="F115" s="8">
        <v>720</v>
      </c>
      <c r="G115" s="8">
        <v>1285</v>
      </c>
      <c r="H115" s="8">
        <v>110</v>
      </c>
      <c r="I115" s="73">
        <v>0.36</v>
      </c>
      <c r="J115" s="73">
        <v>0.28999999999999998</v>
      </c>
      <c r="K115" s="73">
        <v>0.37</v>
      </c>
      <c r="L115" s="73">
        <v>0.66</v>
      </c>
      <c r="M115" s="73">
        <v>0.06</v>
      </c>
    </row>
    <row r="116" spans="1:13" ht="15.75" thickBot="1" x14ac:dyDescent="0.3">
      <c r="A116" s="93" t="s">
        <v>244</v>
      </c>
      <c r="B116" s="8">
        <v>10655</v>
      </c>
      <c r="C116" s="73">
        <v>0.03</v>
      </c>
      <c r="D116" s="8">
        <v>3395</v>
      </c>
      <c r="E116" s="8">
        <v>3535</v>
      </c>
      <c r="F116" s="8">
        <v>2665</v>
      </c>
      <c r="G116" s="8">
        <v>5560</v>
      </c>
      <c r="H116" s="8">
        <v>1190</v>
      </c>
      <c r="I116" s="73">
        <v>0.32</v>
      </c>
      <c r="J116" s="73">
        <v>0.33</v>
      </c>
      <c r="K116" s="73">
        <v>0.25</v>
      </c>
      <c r="L116" s="73">
        <v>0.52</v>
      </c>
      <c r="M116" s="73">
        <v>0.11</v>
      </c>
    </row>
    <row r="117" spans="1:13" ht="15.75" thickBot="1" x14ac:dyDescent="0.3">
      <c r="A117" s="93" t="s">
        <v>161</v>
      </c>
      <c r="B117" s="8">
        <v>1445</v>
      </c>
      <c r="C117" s="73">
        <v>7.0000000000000007E-2</v>
      </c>
      <c r="D117" s="8">
        <v>1395</v>
      </c>
      <c r="E117" s="8">
        <v>0</v>
      </c>
      <c r="F117" s="8">
        <v>0</v>
      </c>
      <c r="G117" s="8">
        <v>0</v>
      </c>
      <c r="H117" s="8">
        <v>45</v>
      </c>
      <c r="I117" s="73">
        <v>0.97</v>
      </c>
      <c r="J117" s="73">
        <v>0</v>
      </c>
      <c r="K117" s="73">
        <v>0</v>
      </c>
      <c r="L117" s="73">
        <v>0</v>
      </c>
      <c r="M117" s="73">
        <v>0.03</v>
      </c>
    </row>
    <row r="118" spans="1:13" ht="15.75" thickBot="1" x14ac:dyDescent="0.3">
      <c r="A118" s="93" t="s">
        <v>162</v>
      </c>
      <c r="B118" s="8">
        <v>9875</v>
      </c>
      <c r="C118" s="73">
        <v>0.08</v>
      </c>
      <c r="D118" s="8">
        <v>2535</v>
      </c>
      <c r="E118" s="8">
        <v>3740</v>
      </c>
      <c r="F118" s="8">
        <v>2125</v>
      </c>
      <c r="G118" s="8">
        <v>4095</v>
      </c>
      <c r="H118" s="8">
        <v>1385</v>
      </c>
      <c r="I118" s="73">
        <v>0.26</v>
      </c>
      <c r="J118" s="73">
        <v>0.38</v>
      </c>
      <c r="K118" s="73">
        <v>0.22</v>
      </c>
      <c r="L118" s="73">
        <v>0.41</v>
      </c>
      <c r="M118" s="73">
        <v>0.14000000000000001</v>
      </c>
    </row>
    <row r="119" spans="1:13" ht="15.75" thickBot="1" x14ac:dyDescent="0.3">
      <c r="A119" s="93" t="s">
        <v>163</v>
      </c>
      <c r="B119" s="8">
        <v>9405</v>
      </c>
      <c r="C119" s="73">
        <v>0.08</v>
      </c>
      <c r="D119" s="8">
        <v>2670</v>
      </c>
      <c r="E119" s="8">
        <v>3060</v>
      </c>
      <c r="F119" s="8">
        <v>2620</v>
      </c>
      <c r="G119" s="8">
        <v>6090</v>
      </c>
      <c r="H119" s="8">
        <v>1170</v>
      </c>
      <c r="I119" s="73">
        <v>0.28000000000000003</v>
      </c>
      <c r="J119" s="73">
        <v>0.33</v>
      </c>
      <c r="K119" s="73">
        <v>0.28000000000000003</v>
      </c>
      <c r="L119" s="73">
        <v>0.65</v>
      </c>
      <c r="M119" s="73">
        <v>0.12</v>
      </c>
    </row>
    <row r="120" spans="1:13" ht="15.75" thickBot="1" x14ac:dyDescent="0.3">
      <c r="A120" s="93" t="s">
        <v>164</v>
      </c>
      <c r="B120" s="8">
        <v>4385</v>
      </c>
      <c r="C120" s="73">
        <v>0.08</v>
      </c>
      <c r="D120" s="8">
        <v>1640</v>
      </c>
      <c r="E120" s="8">
        <v>1335</v>
      </c>
      <c r="F120" s="8">
        <v>1530</v>
      </c>
      <c r="G120" s="8">
        <v>2950</v>
      </c>
      <c r="H120" s="8">
        <v>295</v>
      </c>
      <c r="I120" s="73">
        <v>0.37</v>
      </c>
      <c r="J120" s="73">
        <v>0.3</v>
      </c>
      <c r="K120" s="73">
        <v>0.35</v>
      </c>
      <c r="L120" s="73">
        <v>0.67</v>
      </c>
      <c r="M120" s="73">
        <v>7.0000000000000007E-2</v>
      </c>
    </row>
    <row r="121" spans="1:13" ht="15.75" thickBot="1" x14ac:dyDescent="0.3">
      <c r="A121" s="93" t="s">
        <v>245</v>
      </c>
      <c r="B121" s="8">
        <v>25105</v>
      </c>
      <c r="C121" s="73">
        <v>0.08</v>
      </c>
      <c r="D121" s="8">
        <v>8245</v>
      </c>
      <c r="E121" s="8">
        <v>8130</v>
      </c>
      <c r="F121" s="8">
        <v>6275</v>
      </c>
      <c r="G121" s="8">
        <v>13135</v>
      </c>
      <c r="H121" s="8">
        <v>2900</v>
      </c>
      <c r="I121" s="73">
        <v>0.33</v>
      </c>
      <c r="J121" s="73">
        <v>0.32</v>
      </c>
      <c r="K121" s="73">
        <v>0.25</v>
      </c>
      <c r="L121" s="73">
        <v>0.52</v>
      </c>
      <c r="M121" s="73">
        <v>0.12</v>
      </c>
    </row>
    <row r="122" spans="1:13" ht="15.75" thickBot="1" x14ac:dyDescent="0.3">
      <c r="A122" s="93" t="s">
        <v>165</v>
      </c>
      <c r="B122" s="8">
        <v>60</v>
      </c>
      <c r="C122" s="73">
        <v>0</v>
      </c>
      <c r="D122" s="8">
        <v>60</v>
      </c>
      <c r="E122" s="8">
        <v>0</v>
      </c>
      <c r="F122" s="8">
        <v>0</v>
      </c>
      <c r="G122" s="8">
        <v>0</v>
      </c>
      <c r="H122" s="8" t="s">
        <v>449</v>
      </c>
      <c r="I122" s="73" t="s">
        <v>449</v>
      </c>
      <c r="J122" s="73">
        <v>0</v>
      </c>
      <c r="K122" s="73">
        <v>0</v>
      </c>
      <c r="L122" s="73">
        <v>0</v>
      </c>
      <c r="M122" s="73" t="s">
        <v>449</v>
      </c>
    </row>
    <row r="123" spans="1:13" ht="15.75" thickBot="1" x14ac:dyDescent="0.3">
      <c r="A123" s="93" t="s">
        <v>166</v>
      </c>
      <c r="B123" s="8">
        <v>220</v>
      </c>
      <c r="C123" s="73">
        <v>0</v>
      </c>
      <c r="D123" s="8">
        <v>70</v>
      </c>
      <c r="E123" s="8">
        <v>90</v>
      </c>
      <c r="F123" s="8">
        <v>60</v>
      </c>
      <c r="G123" s="8">
        <v>100</v>
      </c>
      <c r="H123" s="8">
        <v>15</v>
      </c>
      <c r="I123" s="73">
        <v>0.32</v>
      </c>
      <c r="J123" s="73">
        <v>0.42</v>
      </c>
      <c r="K123" s="73">
        <v>0.27</v>
      </c>
      <c r="L123" s="73">
        <v>0.46</v>
      </c>
      <c r="M123" s="73">
        <v>0.08</v>
      </c>
    </row>
    <row r="124" spans="1:13" ht="15.75" thickBot="1" x14ac:dyDescent="0.3">
      <c r="A124" s="93" t="s">
        <v>167</v>
      </c>
      <c r="B124" s="8">
        <v>280</v>
      </c>
      <c r="C124" s="73">
        <v>0</v>
      </c>
      <c r="D124" s="8">
        <v>70</v>
      </c>
      <c r="E124" s="8">
        <v>95</v>
      </c>
      <c r="F124" s="8">
        <v>95</v>
      </c>
      <c r="G124" s="8">
        <v>185</v>
      </c>
      <c r="H124" s="8">
        <v>30</v>
      </c>
      <c r="I124" s="73">
        <v>0.25</v>
      </c>
      <c r="J124" s="73">
        <v>0.33</v>
      </c>
      <c r="K124" s="73">
        <v>0.33</v>
      </c>
      <c r="L124" s="73">
        <v>0.65</v>
      </c>
      <c r="M124" s="73">
        <v>0.1</v>
      </c>
    </row>
    <row r="125" spans="1:13" ht="15.75" thickBot="1" x14ac:dyDescent="0.3">
      <c r="A125" s="93" t="s">
        <v>168</v>
      </c>
      <c r="B125" s="8">
        <v>100</v>
      </c>
      <c r="C125" s="73">
        <v>0</v>
      </c>
      <c r="D125" s="8">
        <v>20</v>
      </c>
      <c r="E125" s="8">
        <v>35</v>
      </c>
      <c r="F125" s="8">
        <v>40</v>
      </c>
      <c r="G125" s="8">
        <v>65</v>
      </c>
      <c r="H125" s="8">
        <v>10</v>
      </c>
      <c r="I125" s="73">
        <v>0.22</v>
      </c>
      <c r="J125" s="73">
        <v>0.33</v>
      </c>
      <c r="K125" s="73">
        <v>0.4</v>
      </c>
      <c r="L125" s="73">
        <v>0.66</v>
      </c>
      <c r="M125" s="73">
        <v>0.08</v>
      </c>
    </row>
    <row r="126" spans="1:13" ht="15.75" thickBot="1" x14ac:dyDescent="0.3">
      <c r="A126" s="93" t="s">
        <v>246</v>
      </c>
      <c r="B126" s="8">
        <v>660</v>
      </c>
      <c r="C126" s="73">
        <v>0</v>
      </c>
      <c r="D126" s="8">
        <v>220</v>
      </c>
      <c r="E126" s="8">
        <v>220</v>
      </c>
      <c r="F126" s="8">
        <v>190</v>
      </c>
      <c r="G126" s="8">
        <v>350</v>
      </c>
      <c r="H126" s="8">
        <v>55</v>
      </c>
      <c r="I126" s="73">
        <v>0.33</v>
      </c>
      <c r="J126" s="73">
        <v>0.33</v>
      </c>
      <c r="K126" s="73">
        <v>0.28999999999999998</v>
      </c>
      <c r="L126" s="73">
        <v>0.53</v>
      </c>
      <c r="M126" s="73">
        <v>0.08</v>
      </c>
    </row>
    <row r="127" spans="1:13" ht="15.75" thickBot="1" x14ac:dyDescent="0.3">
      <c r="A127" s="93" t="s">
        <v>169</v>
      </c>
      <c r="B127" s="8">
        <v>410</v>
      </c>
      <c r="C127" s="73">
        <v>0.02</v>
      </c>
      <c r="D127" s="8">
        <v>395</v>
      </c>
      <c r="E127" s="8">
        <v>0</v>
      </c>
      <c r="F127" s="8">
        <v>0</v>
      </c>
      <c r="G127" s="8">
        <v>0</v>
      </c>
      <c r="H127" s="8">
        <v>15</v>
      </c>
      <c r="I127" s="73">
        <v>0.97</v>
      </c>
      <c r="J127" s="73">
        <v>0</v>
      </c>
      <c r="K127" s="73">
        <v>0</v>
      </c>
      <c r="L127" s="73">
        <v>0</v>
      </c>
      <c r="M127" s="73">
        <v>0.03</v>
      </c>
    </row>
    <row r="128" spans="1:13" ht="15.75" thickBot="1" x14ac:dyDescent="0.3">
      <c r="A128" s="93" t="s">
        <v>170</v>
      </c>
      <c r="B128" s="8">
        <v>2230</v>
      </c>
      <c r="C128" s="73">
        <v>0.02</v>
      </c>
      <c r="D128" s="8">
        <v>670</v>
      </c>
      <c r="E128" s="8">
        <v>910</v>
      </c>
      <c r="F128" s="8">
        <v>480</v>
      </c>
      <c r="G128" s="8">
        <v>975</v>
      </c>
      <c r="H128" s="8">
        <v>235</v>
      </c>
      <c r="I128" s="73">
        <v>0.3</v>
      </c>
      <c r="J128" s="73">
        <v>0.41</v>
      </c>
      <c r="K128" s="73">
        <v>0.22</v>
      </c>
      <c r="L128" s="73">
        <v>0.44</v>
      </c>
      <c r="M128" s="73">
        <v>0.11</v>
      </c>
    </row>
    <row r="129" spans="1:13" ht="15.75" thickBot="1" x14ac:dyDescent="0.3">
      <c r="A129" s="93" t="s">
        <v>171</v>
      </c>
      <c r="B129" s="8">
        <v>2470</v>
      </c>
      <c r="C129" s="73">
        <v>0.02</v>
      </c>
      <c r="D129" s="8">
        <v>680</v>
      </c>
      <c r="E129" s="8">
        <v>845</v>
      </c>
      <c r="F129" s="8">
        <v>755</v>
      </c>
      <c r="G129" s="8">
        <v>1615</v>
      </c>
      <c r="H129" s="8">
        <v>265</v>
      </c>
      <c r="I129" s="73">
        <v>0.28000000000000003</v>
      </c>
      <c r="J129" s="73">
        <v>0.34</v>
      </c>
      <c r="K129" s="73">
        <v>0.31</v>
      </c>
      <c r="L129" s="73">
        <v>0.65</v>
      </c>
      <c r="M129" s="73">
        <v>0.11</v>
      </c>
    </row>
    <row r="130" spans="1:13" ht="15.75" thickBot="1" x14ac:dyDescent="0.3">
      <c r="A130" s="93" t="s">
        <v>172</v>
      </c>
      <c r="B130" s="8">
        <v>1155</v>
      </c>
      <c r="C130" s="73">
        <v>0.02</v>
      </c>
      <c r="D130" s="8">
        <v>430</v>
      </c>
      <c r="E130" s="8">
        <v>365</v>
      </c>
      <c r="F130" s="8">
        <v>400</v>
      </c>
      <c r="G130" s="8">
        <v>785</v>
      </c>
      <c r="H130" s="8">
        <v>65</v>
      </c>
      <c r="I130" s="73">
        <v>0.37</v>
      </c>
      <c r="J130" s="73">
        <v>0.31</v>
      </c>
      <c r="K130" s="73">
        <v>0.35</v>
      </c>
      <c r="L130" s="73">
        <v>0.68</v>
      </c>
      <c r="M130" s="73">
        <v>0.06</v>
      </c>
    </row>
    <row r="131" spans="1:13" ht="15.75" thickBot="1" x14ac:dyDescent="0.3">
      <c r="A131" s="93" t="s">
        <v>247</v>
      </c>
      <c r="B131" s="8">
        <v>6265</v>
      </c>
      <c r="C131" s="73">
        <v>0.02</v>
      </c>
      <c r="D131" s="8">
        <v>2175</v>
      </c>
      <c r="E131" s="8">
        <v>2120</v>
      </c>
      <c r="F131" s="8">
        <v>1635</v>
      </c>
      <c r="G131" s="8">
        <v>3375</v>
      </c>
      <c r="H131" s="8">
        <v>575</v>
      </c>
      <c r="I131" s="73">
        <v>0.35</v>
      </c>
      <c r="J131" s="73">
        <v>0.34</v>
      </c>
      <c r="K131" s="73">
        <v>0.26</v>
      </c>
      <c r="L131" s="73">
        <v>0.54</v>
      </c>
      <c r="M131" s="73">
        <v>0.09</v>
      </c>
    </row>
    <row r="132" spans="1:13" ht="15.75" thickBot="1" x14ac:dyDescent="0.3">
      <c r="A132" s="93" t="s">
        <v>173</v>
      </c>
      <c r="B132" s="8">
        <v>640</v>
      </c>
      <c r="C132" s="73">
        <v>0.03</v>
      </c>
      <c r="D132" s="8">
        <v>620</v>
      </c>
      <c r="E132" s="8">
        <v>0</v>
      </c>
      <c r="F132" s="8">
        <v>0</v>
      </c>
      <c r="G132" s="8">
        <v>0</v>
      </c>
      <c r="H132" s="8">
        <v>20</v>
      </c>
      <c r="I132" s="73">
        <v>0.97</v>
      </c>
      <c r="J132" s="73">
        <v>0</v>
      </c>
      <c r="K132" s="73">
        <v>0</v>
      </c>
      <c r="L132" s="73">
        <v>0</v>
      </c>
      <c r="M132" s="73">
        <v>0.03</v>
      </c>
    </row>
    <row r="133" spans="1:13" ht="15.75" thickBot="1" x14ac:dyDescent="0.3">
      <c r="A133" s="93" t="s">
        <v>174</v>
      </c>
      <c r="B133" s="8">
        <v>4165</v>
      </c>
      <c r="C133" s="73">
        <v>0.03</v>
      </c>
      <c r="D133" s="8">
        <v>1005</v>
      </c>
      <c r="E133" s="8">
        <v>1630</v>
      </c>
      <c r="F133" s="8">
        <v>900</v>
      </c>
      <c r="G133" s="8">
        <v>1705</v>
      </c>
      <c r="H133" s="8">
        <v>545</v>
      </c>
      <c r="I133" s="73">
        <v>0.24</v>
      </c>
      <c r="J133" s="73">
        <v>0.39</v>
      </c>
      <c r="K133" s="73">
        <v>0.22</v>
      </c>
      <c r="L133" s="73">
        <v>0.41</v>
      </c>
      <c r="M133" s="73">
        <v>0.13</v>
      </c>
    </row>
    <row r="134" spans="1:13" ht="15.75" thickBot="1" x14ac:dyDescent="0.3">
      <c r="A134" s="93" t="s">
        <v>175</v>
      </c>
      <c r="B134" s="8">
        <v>3845</v>
      </c>
      <c r="C134" s="73">
        <v>0.03</v>
      </c>
      <c r="D134" s="8">
        <v>1060</v>
      </c>
      <c r="E134" s="8">
        <v>1275</v>
      </c>
      <c r="F134" s="8">
        <v>1080</v>
      </c>
      <c r="G134" s="8">
        <v>2510</v>
      </c>
      <c r="H134" s="8">
        <v>435</v>
      </c>
      <c r="I134" s="73">
        <v>0.28000000000000003</v>
      </c>
      <c r="J134" s="73">
        <v>0.33</v>
      </c>
      <c r="K134" s="73">
        <v>0.28000000000000003</v>
      </c>
      <c r="L134" s="73">
        <v>0.65</v>
      </c>
      <c r="M134" s="73">
        <v>0.11</v>
      </c>
    </row>
    <row r="135" spans="1:13" ht="15.75" thickBot="1" x14ac:dyDescent="0.3">
      <c r="A135" s="93" t="s">
        <v>176</v>
      </c>
      <c r="B135" s="8">
        <v>1755</v>
      </c>
      <c r="C135" s="73">
        <v>0.03</v>
      </c>
      <c r="D135" s="8">
        <v>670</v>
      </c>
      <c r="E135" s="8">
        <v>515</v>
      </c>
      <c r="F135" s="8">
        <v>635</v>
      </c>
      <c r="G135" s="8">
        <v>1195</v>
      </c>
      <c r="H135" s="8">
        <v>105</v>
      </c>
      <c r="I135" s="73">
        <v>0.38</v>
      </c>
      <c r="J135" s="73">
        <v>0.28999999999999998</v>
      </c>
      <c r="K135" s="73">
        <v>0.36</v>
      </c>
      <c r="L135" s="73">
        <v>0.68</v>
      </c>
      <c r="M135" s="73">
        <v>0.06</v>
      </c>
    </row>
    <row r="136" spans="1:13" ht="15.75" thickBot="1" x14ac:dyDescent="0.3">
      <c r="A136" s="93" t="s">
        <v>248</v>
      </c>
      <c r="B136" s="8">
        <v>10405</v>
      </c>
      <c r="C136" s="73">
        <v>0.03</v>
      </c>
      <c r="D136" s="8">
        <v>3355</v>
      </c>
      <c r="E136" s="8">
        <v>3420</v>
      </c>
      <c r="F136" s="8">
        <v>2615</v>
      </c>
      <c r="G136" s="8">
        <v>5410</v>
      </c>
      <c r="H136" s="8">
        <v>1110</v>
      </c>
      <c r="I136" s="73">
        <v>0.32</v>
      </c>
      <c r="J136" s="73">
        <v>0.33</v>
      </c>
      <c r="K136" s="73">
        <v>0.25</v>
      </c>
      <c r="L136" s="73">
        <v>0.52</v>
      </c>
      <c r="M136" s="73">
        <v>0.11</v>
      </c>
    </row>
    <row r="137" spans="1:13" ht="15.75" thickBot="1" x14ac:dyDescent="0.3">
      <c r="A137" s="93" t="s">
        <v>177</v>
      </c>
      <c r="B137" s="8">
        <v>295</v>
      </c>
      <c r="C137" s="73">
        <v>0.02</v>
      </c>
      <c r="D137" s="8">
        <v>280</v>
      </c>
      <c r="E137" s="8">
        <v>0</v>
      </c>
      <c r="F137" s="8">
        <v>0</v>
      </c>
      <c r="G137" s="8">
        <v>0</v>
      </c>
      <c r="H137" s="8">
        <v>15</v>
      </c>
      <c r="I137" s="73">
        <v>0.95</v>
      </c>
      <c r="J137" s="73">
        <v>0</v>
      </c>
      <c r="K137" s="73">
        <v>0</v>
      </c>
      <c r="L137" s="73">
        <v>0</v>
      </c>
      <c r="M137" s="73">
        <v>0.05</v>
      </c>
    </row>
    <row r="138" spans="1:13" ht="15.75" thickBot="1" x14ac:dyDescent="0.3">
      <c r="A138" s="93" t="s">
        <v>178</v>
      </c>
      <c r="B138" s="8">
        <v>1850</v>
      </c>
      <c r="C138" s="73">
        <v>0.01</v>
      </c>
      <c r="D138" s="8">
        <v>510</v>
      </c>
      <c r="E138" s="8">
        <v>740</v>
      </c>
      <c r="F138" s="8">
        <v>420</v>
      </c>
      <c r="G138" s="8">
        <v>790</v>
      </c>
      <c r="H138" s="8">
        <v>185</v>
      </c>
      <c r="I138" s="73">
        <v>0.28000000000000003</v>
      </c>
      <c r="J138" s="73">
        <v>0.4</v>
      </c>
      <c r="K138" s="73">
        <v>0.23</v>
      </c>
      <c r="L138" s="73">
        <v>0.43</v>
      </c>
      <c r="M138" s="73">
        <v>0.1</v>
      </c>
    </row>
    <row r="139" spans="1:13" ht="15.75" thickBot="1" x14ac:dyDescent="0.3">
      <c r="A139" s="93" t="s">
        <v>179</v>
      </c>
      <c r="B139" s="8">
        <v>2020</v>
      </c>
      <c r="C139" s="73">
        <v>0.02</v>
      </c>
      <c r="D139" s="8">
        <v>530</v>
      </c>
      <c r="E139" s="8">
        <v>670</v>
      </c>
      <c r="F139" s="8">
        <v>645</v>
      </c>
      <c r="G139" s="8">
        <v>1235</v>
      </c>
      <c r="H139" s="8">
        <v>235</v>
      </c>
      <c r="I139" s="73">
        <v>0.26</v>
      </c>
      <c r="J139" s="73">
        <v>0.33</v>
      </c>
      <c r="K139" s="73">
        <v>0.32</v>
      </c>
      <c r="L139" s="73">
        <v>0.61</v>
      </c>
      <c r="M139" s="73">
        <v>0.12</v>
      </c>
    </row>
    <row r="140" spans="1:13" ht="15.75" thickBot="1" x14ac:dyDescent="0.3">
      <c r="A140" s="93" t="s">
        <v>180</v>
      </c>
      <c r="B140" s="8">
        <v>1010</v>
      </c>
      <c r="C140" s="73">
        <v>0.02</v>
      </c>
      <c r="D140" s="8">
        <v>360</v>
      </c>
      <c r="E140" s="8">
        <v>305</v>
      </c>
      <c r="F140" s="8">
        <v>395</v>
      </c>
      <c r="G140" s="8">
        <v>660</v>
      </c>
      <c r="H140" s="8">
        <v>70</v>
      </c>
      <c r="I140" s="73">
        <v>0.36</v>
      </c>
      <c r="J140" s="73">
        <v>0.3</v>
      </c>
      <c r="K140" s="73">
        <v>0.39</v>
      </c>
      <c r="L140" s="73">
        <v>0.65</v>
      </c>
      <c r="M140" s="73">
        <v>7.0000000000000007E-2</v>
      </c>
    </row>
    <row r="141" spans="1:13" ht="15.75" thickBot="1" x14ac:dyDescent="0.3">
      <c r="A141" s="93" t="s">
        <v>249</v>
      </c>
      <c r="B141" s="8">
        <v>5175</v>
      </c>
      <c r="C141" s="73">
        <v>0.02</v>
      </c>
      <c r="D141" s="8">
        <v>1680</v>
      </c>
      <c r="E141" s="8">
        <v>1715</v>
      </c>
      <c r="F141" s="8">
        <v>1460</v>
      </c>
      <c r="G141" s="8">
        <v>2680</v>
      </c>
      <c r="H141" s="8">
        <v>505</v>
      </c>
      <c r="I141" s="73">
        <v>0.32</v>
      </c>
      <c r="J141" s="73">
        <v>0.33</v>
      </c>
      <c r="K141" s="73">
        <v>0.28000000000000003</v>
      </c>
      <c r="L141" s="73">
        <v>0.52</v>
      </c>
      <c r="M141" s="73">
        <v>0.1</v>
      </c>
    </row>
    <row r="142" spans="1:13" ht="15.75" thickBot="1" x14ac:dyDescent="0.3">
      <c r="A142" s="93" t="s">
        <v>181</v>
      </c>
      <c r="B142" s="8">
        <v>35</v>
      </c>
      <c r="C142" s="73">
        <v>0</v>
      </c>
      <c r="D142" s="8">
        <v>35</v>
      </c>
      <c r="E142" s="8">
        <v>0</v>
      </c>
      <c r="F142" s="8">
        <v>0</v>
      </c>
      <c r="G142" s="8">
        <v>0</v>
      </c>
      <c r="H142" s="8" t="s">
        <v>449</v>
      </c>
      <c r="I142" s="73" t="s">
        <v>449</v>
      </c>
      <c r="J142" s="73">
        <v>0</v>
      </c>
      <c r="K142" s="73">
        <v>0</v>
      </c>
      <c r="L142" s="73">
        <v>0</v>
      </c>
      <c r="M142" s="73" t="s">
        <v>449</v>
      </c>
    </row>
    <row r="143" spans="1:13" ht="15.75" thickBot="1" x14ac:dyDescent="0.3">
      <c r="A143" s="93" t="s">
        <v>182</v>
      </c>
      <c r="B143" s="8">
        <v>245</v>
      </c>
      <c r="C143" s="73">
        <v>0</v>
      </c>
      <c r="D143" s="8">
        <v>70</v>
      </c>
      <c r="E143" s="8">
        <v>120</v>
      </c>
      <c r="F143" s="8">
        <v>65</v>
      </c>
      <c r="G143" s="8">
        <v>105</v>
      </c>
      <c r="H143" s="8">
        <v>15</v>
      </c>
      <c r="I143" s="73">
        <v>0.28000000000000003</v>
      </c>
      <c r="J143" s="73">
        <v>0.48</v>
      </c>
      <c r="K143" s="73">
        <v>0.26</v>
      </c>
      <c r="L143" s="73">
        <v>0.43</v>
      </c>
      <c r="M143" s="73">
        <v>0.06</v>
      </c>
    </row>
    <row r="144" spans="1:13" ht="15.75" thickBot="1" x14ac:dyDescent="0.3">
      <c r="A144" s="93" t="s">
        <v>183</v>
      </c>
      <c r="B144" s="8">
        <v>235</v>
      </c>
      <c r="C144" s="73">
        <v>0</v>
      </c>
      <c r="D144" s="8">
        <v>60</v>
      </c>
      <c r="E144" s="8">
        <v>80</v>
      </c>
      <c r="F144" s="8">
        <v>70</v>
      </c>
      <c r="G144" s="8">
        <v>160</v>
      </c>
      <c r="H144" s="8">
        <v>30</v>
      </c>
      <c r="I144" s="73">
        <v>0.26</v>
      </c>
      <c r="J144" s="73">
        <v>0.34</v>
      </c>
      <c r="K144" s="73">
        <v>0.28999999999999998</v>
      </c>
      <c r="L144" s="73">
        <v>0.67</v>
      </c>
      <c r="M144" s="73">
        <v>0.12</v>
      </c>
    </row>
    <row r="145" spans="1:13" ht="15.75" thickBot="1" x14ac:dyDescent="0.3">
      <c r="A145" s="93" t="s">
        <v>184</v>
      </c>
      <c r="B145" s="8">
        <v>115</v>
      </c>
      <c r="C145" s="73">
        <v>0</v>
      </c>
      <c r="D145" s="8">
        <v>40</v>
      </c>
      <c r="E145" s="8">
        <v>35</v>
      </c>
      <c r="F145" s="8">
        <v>40</v>
      </c>
      <c r="G145" s="8">
        <v>75</v>
      </c>
      <c r="H145" s="8">
        <v>10</v>
      </c>
      <c r="I145" s="73">
        <v>0.34</v>
      </c>
      <c r="J145" s="73">
        <v>0.31</v>
      </c>
      <c r="K145" s="73">
        <v>0.33</v>
      </c>
      <c r="L145" s="73">
        <v>0.67</v>
      </c>
      <c r="M145" s="73">
        <v>0.09</v>
      </c>
    </row>
    <row r="146" spans="1:13" ht="15.75" thickBot="1" x14ac:dyDescent="0.3">
      <c r="A146" s="93" t="s">
        <v>250</v>
      </c>
      <c r="B146" s="8">
        <v>635</v>
      </c>
      <c r="C146" s="73">
        <v>0</v>
      </c>
      <c r="D146" s="8">
        <v>205</v>
      </c>
      <c r="E146" s="8">
        <v>235</v>
      </c>
      <c r="F146" s="8">
        <v>170</v>
      </c>
      <c r="G146" s="8">
        <v>340</v>
      </c>
      <c r="H146" s="8">
        <v>55</v>
      </c>
      <c r="I146" s="73">
        <v>0.32</v>
      </c>
      <c r="J146" s="73">
        <v>0.37</v>
      </c>
      <c r="K146" s="73">
        <v>0.27</v>
      </c>
      <c r="L146" s="73">
        <v>0.54</v>
      </c>
      <c r="M146" s="73">
        <v>0.09</v>
      </c>
    </row>
    <row r="147" spans="1:13" ht="15.75" thickBot="1" x14ac:dyDescent="0.3">
      <c r="A147" s="93" t="s">
        <v>185</v>
      </c>
      <c r="B147" s="8">
        <v>325</v>
      </c>
      <c r="C147" s="73">
        <v>0.02</v>
      </c>
      <c r="D147" s="8">
        <v>315</v>
      </c>
      <c r="E147" s="8">
        <v>0</v>
      </c>
      <c r="F147" s="8">
        <v>0</v>
      </c>
      <c r="G147" s="8">
        <v>0</v>
      </c>
      <c r="H147" s="8">
        <v>10</v>
      </c>
      <c r="I147" s="73">
        <v>0.97</v>
      </c>
      <c r="J147" s="73">
        <v>0</v>
      </c>
      <c r="K147" s="73">
        <v>0</v>
      </c>
      <c r="L147" s="73">
        <v>0</v>
      </c>
      <c r="M147" s="73">
        <v>0.03</v>
      </c>
    </row>
    <row r="148" spans="1:13" ht="15.75" thickBot="1" x14ac:dyDescent="0.3">
      <c r="A148" s="93" t="s">
        <v>186</v>
      </c>
      <c r="B148" s="8">
        <v>2420</v>
      </c>
      <c r="C148" s="73">
        <v>0.02</v>
      </c>
      <c r="D148" s="8">
        <v>620</v>
      </c>
      <c r="E148" s="8">
        <v>920</v>
      </c>
      <c r="F148" s="8">
        <v>590</v>
      </c>
      <c r="G148" s="8">
        <v>975</v>
      </c>
      <c r="H148" s="8">
        <v>295</v>
      </c>
      <c r="I148" s="73">
        <v>0.26</v>
      </c>
      <c r="J148" s="73">
        <v>0.38</v>
      </c>
      <c r="K148" s="73">
        <v>0.24</v>
      </c>
      <c r="L148" s="73">
        <v>0.4</v>
      </c>
      <c r="M148" s="73">
        <v>0.12</v>
      </c>
    </row>
    <row r="149" spans="1:13" ht="15.75" thickBot="1" x14ac:dyDescent="0.3">
      <c r="A149" s="93" t="s">
        <v>187</v>
      </c>
      <c r="B149" s="8">
        <v>2370</v>
      </c>
      <c r="C149" s="73">
        <v>0.02</v>
      </c>
      <c r="D149" s="8">
        <v>645</v>
      </c>
      <c r="E149" s="8">
        <v>770</v>
      </c>
      <c r="F149" s="8">
        <v>675</v>
      </c>
      <c r="G149" s="8">
        <v>1485</v>
      </c>
      <c r="H149" s="8">
        <v>340</v>
      </c>
      <c r="I149" s="73">
        <v>0.27</v>
      </c>
      <c r="J149" s="73">
        <v>0.33</v>
      </c>
      <c r="K149" s="73">
        <v>0.28000000000000003</v>
      </c>
      <c r="L149" s="73">
        <v>0.63</v>
      </c>
      <c r="M149" s="73">
        <v>0.14000000000000001</v>
      </c>
    </row>
    <row r="150" spans="1:13" ht="15.75" thickBot="1" x14ac:dyDescent="0.3">
      <c r="A150" s="93" t="s">
        <v>188</v>
      </c>
      <c r="B150" s="8">
        <v>1085</v>
      </c>
      <c r="C150" s="73">
        <v>0.02</v>
      </c>
      <c r="D150" s="8">
        <v>410</v>
      </c>
      <c r="E150" s="8">
        <v>320</v>
      </c>
      <c r="F150" s="8">
        <v>390</v>
      </c>
      <c r="G150" s="8">
        <v>735</v>
      </c>
      <c r="H150" s="8">
        <v>65</v>
      </c>
      <c r="I150" s="73">
        <v>0.38</v>
      </c>
      <c r="J150" s="73">
        <v>0.28999999999999998</v>
      </c>
      <c r="K150" s="73">
        <v>0.36</v>
      </c>
      <c r="L150" s="73">
        <v>0.68</v>
      </c>
      <c r="M150" s="73">
        <v>0.06</v>
      </c>
    </row>
    <row r="151" spans="1:13" ht="15.75" thickBot="1" x14ac:dyDescent="0.3">
      <c r="A151" s="93" t="s">
        <v>251</v>
      </c>
      <c r="B151" s="8">
        <v>6205</v>
      </c>
      <c r="C151" s="73">
        <v>0.02</v>
      </c>
      <c r="D151" s="8">
        <v>1990</v>
      </c>
      <c r="E151" s="8">
        <v>2010</v>
      </c>
      <c r="F151" s="8">
        <v>1655</v>
      </c>
      <c r="G151" s="8">
        <v>3200</v>
      </c>
      <c r="H151" s="8">
        <v>710</v>
      </c>
      <c r="I151" s="73">
        <v>0.32</v>
      </c>
      <c r="J151" s="73">
        <v>0.32</v>
      </c>
      <c r="K151" s="73">
        <v>0.27</v>
      </c>
      <c r="L151" s="73">
        <v>0.52</v>
      </c>
      <c r="M151" s="73">
        <v>0.11</v>
      </c>
    </row>
    <row r="152" spans="1:13" ht="15.75" thickBot="1" x14ac:dyDescent="0.3">
      <c r="A152" s="93" t="s">
        <v>189</v>
      </c>
      <c r="B152" s="8">
        <v>1115</v>
      </c>
      <c r="C152" s="73">
        <v>0.06</v>
      </c>
      <c r="D152" s="8">
        <v>1065</v>
      </c>
      <c r="E152" s="8">
        <v>0</v>
      </c>
      <c r="F152" s="8">
        <v>0</v>
      </c>
      <c r="G152" s="8">
        <v>0</v>
      </c>
      <c r="H152" s="8">
        <v>50</v>
      </c>
      <c r="I152" s="73">
        <v>0.96</v>
      </c>
      <c r="J152" s="73">
        <v>0</v>
      </c>
      <c r="K152" s="73">
        <v>0</v>
      </c>
      <c r="L152" s="73">
        <v>0</v>
      </c>
      <c r="M152" s="73">
        <v>0.04</v>
      </c>
    </row>
    <row r="153" spans="1:13" ht="15.75" thickBot="1" x14ac:dyDescent="0.3">
      <c r="A153" s="93" t="s">
        <v>190</v>
      </c>
      <c r="B153" s="8">
        <v>7250</v>
      </c>
      <c r="C153" s="73">
        <v>0.06</v>
      </c>
      <c r="D153" s="8">
        <v>1940</v>
      </c>
      <c r="E153" s="8">
        <v>2835</v>
      </c>
      <c r="F153" s="8">
        <v>1655</v>
      </c>
      <c r="G153" s="8">
        <v>2905</v>
      </c>
      <c r="H153" s="8">
        <v>890</v>
      </c>
      <c r="I153" s="73">
        <v>0.27</v>
      </c>
      <c r="J153" s="73">
        <v>0.39</v>
      </c>
      <c r="K153" s="73">
        <v>0.23</v>
      </c>
      <c r="L153" s="73">
        <v>0.4</v>
      </c>
      <c r="M153" s="73">
        <v>0.12</v>
      </c>
    </row>
    <row r="154" spans="1:13" ht="15.75" thickBot="1" x14ac:dyDescent="0.3">
      <c r="A154" s="93" t="s">
        <v>191</v>
      </c>
      <c r="B154" s="8">
        <v>7005</v>
      </c>
      <c r="C154" s="73">
        <v>0.06</v>
      </c>
      <c r="D154" s="8">
        <v>2080</v>
      </c>
      <c r="E154" s="8">
        <v>2285</v>
      </c>
      <c r="F154" s="8">
        <v>1860</v>
      </c>
      <c r="G154" s="8">
        <v>4605</v>
      </c>
      <c r="H154" s="8">
        <v>840</v>
      </c>
      <c r="I154" s="73">
        <v>0.3</v>
      </c>
      <c r="J154" s="73">
        <v>0.33</v>
      </c>
      <c r="K154" s="73">
        <v>0.27</v>
      </c>
      <c r="L154" s="73">
        <v>0.66</v>
      </c>
      <c r="M154" s="73">
        <v>0.12</v>
      </c>
    </row>
    <row r="155" spans="1:13" ht="15.75" thickBot="1" x14ac:dyDescent="0.3">
      <c r="A155" s="93" t="s">
        <v>192</v>
      </c>
      <c r="B155" s="8">
        <v>3420</v>
      </c>
      <c r="C155" s="73">
        <v>0.06</v>
      </c>
      <c r="D155" s="8">
        <v>1365</v>
      </c>
      <c r="E155" s="8">
        <v>985</v>
      </c>
      <c r="F155" s="8">
        <v>1150</v>
      </c>
      <c r="G155" s="8">
        <v>2370</v>
      </c>
      <c r="H155" s="8">
        <v>235</v>
      </c>
      <c r="I155" s="73">
        <v>0.4</v>
      </c>
      <c r="J155" s="73">
        <v>0.28999999999999998</v>
      </c>
      <c r="K155" s="73">
        <v>0.34</v>
      </c>
      <c r="L155" s="73">
        <v>0.69</v>
      </c>
      <c r="M155" s="73">
        <v>7.0000000000000007E-2</v>
      </c>
    </row>
    <row r="156" spans="1:13" ht="15.75" thickBot="1" x14ac:dyDescent="0.3">
      <c r="A156" s="93" t="s">
        <v>252</v>
      </c>
      <c r="B156" s="8">
        <v>18795</v>
      </c>
      <c r="C156" s="73">
        <v>0.06</v>
      </c>
      <c r="D156" s="8">
        <v>6455</v>
      </c>
      <c r="E156" s="8">
        <v>6105</v>
      </c>
      <c r="F156" s="8">
        <v>4665</v>
      </c>
      <c r="G156" s="8">
        <v>9875</v>
      </c>
      <c r="H156" s="8">
        <v>2010</v>
      </c>
      <c r="I156" s="73">
        <v>0.34</v>
      </c>
      <c r="J156" s="73">
        <v>0.32</v>
      </c>
      <c r="K156" s="73">
        <v>0.25</v>
      </c>
      <c r="L156" s="73">
        <v>0.53</v>
      </c>
      <c r="M156" s="73">
        <v>0.11</v>
      </c>
    </row>
    <row r="157" spans="1:13" ht="15.75" thickBot="1" x14ac:dyDescent="0.3">
      <c r="A157" s="93" t="s">
        <v>193</v>
      </c>
      <c r="B157" s="8">
        <v>205</v>
      </c>
      <c r="C157" s="73">
        <v>0.01</v>
      </c>
      <c r="D157" s="8">
        <v>200</v>
      </c>
      <c r="E157" s="8">
        <v>0</v>
      </c>
      <c r="F157" s="8">
        <v>0</v>
      </c>
      <c r="G157" s="8">
        <v>0</v>
      </c>
      <c r="H157" s="8">
        <v>5</v>
      </c>
      <c r="I157" s="73">
        <v>0.97</v>
      </c>
      <c r="J157" s="73">
        <v>0</v>
      </c>
      <c r="K157" s="73">
        <v>0</v>
      </c>
      <c r="L157" s="73">
        <v>0</v>
      </c>
      <c r="M157" s="73">
        <v>0.03</v>
      </c>
    </row>
    <row r="158" spans="1:13" ht="15.75" thickBot="1" x14ac:dyDescent="0.3">
      <c r="A158" s="93" t="s">
        <v>194</v>
      </c>
      <c r="B158" s="8">
        <v>1350</v>
      </c>
      <c r="C158" s="73">
        <v>0.01</v>
      </c>
      <c r="D158" s="8">
        <v>390</v>
      </c>
      <c r="E158" s="8">
        <v>535</v>
      </c>
      <c r="F158" s="8">
        <v>260</v>
      </c>
      <c r="G158" s="8">
        <v>620</v>
      </c>
      <c r="H158" s="8">
        <v>155</v>
      </c>
      <c r="I158" s="73">
        <v>0.28999999999999998</v>
      </c>
      <c r="J158" s="73">
        <v>0.4</v>
      </c>
      <c r="K158" s="73">
        <v>0.19</v>
      </c>
      <c r="L158" s="73">
        <v>0.46</v>
      </c>
      <c r="M158" s="73">
        <v>0.12</v>
      </c>
    </row>
    <row r="159" spans="1:13" ht="15.75" thickBot="1" x14ac:dyDescent="0.3">
      <c r="A159" s="93" t="s">
        <v>195</v>
      </c>
      <c r="B159" s="8">
        <v>1300</v>
      </c>
      <c r="C159" s="73">
        <v>0.01</v>
      </c>
      <c r="D159" s="8">
        <v>375</v>
      </c>
      <c r="E159" s="8">
        <v>440</v>
      </c>
      <c r="F159" s="8">
        <v>365</v>
      </c>
      <c r="G159" s="8">
        <v>865</v>
      </c>
      <c r="H159" s="8">
        <v>145</v>
      </c>
      <c r="I159" s="73">
        <v>0.28999999999999998</v>
      </c>
      <c r="J159" s="73">
        <v>0.34</v>
      </c>
      <c r="K159" s="73">
        <v>0.28000000000000003</v>
      </c>
      <c r="L159" s="73">
        <v>0.66</v>
      </c>
      <c r="M159" s="73">
        <v>0.11</v>
      </c>
    </row>
    <row r="160" spans="1:13" ht="15.75" thickBot="1" x14ac:dyDescent="0.3">
      <c r="A160" s="93" t="s">
        <v>196</v>
      </c>
      <c r="B160" s="8">
        <v>685</v>
      </c>
      <c r="C160" s="73">
        <v>0.01</v>
      </c>
      <c r="D160" s="8">
        <v>245</v>
      </c>
      <c r="E160" s="8">
        <v>215</v>
      </c>
      <c r="F160" s="8">
        <v>220</v>
      </c>
      <c r="G160" s="8">
        <v>450</v>
      </c>
      <c r="H160" s="8">
        <v>55</v>
      </c>
      <c r="I160" s="73">
        <v>0.36</v>
      </c>
      <c r="J160" s="73">
        <v>0.31</v>
      </c>
      <c r="K160" s="73">
        <v>0.32</v>
      </c>
      <c r="L160" s="73">
        <v>0.66</v>
      </c>
      <c r="M160" s="73">
        <v>0.08</v>
      </c>
    </row>
    <row r="161" spans="1:13" ht="15.75" thickBot="1" x14ac:dyDescent="0.3">
      <c r="A161" s="93" t="s">
        <v>253</v>
      </c>
      <c r="B161" s="8">
        <v>3540</v>
      </c>
      <c r="C161" s="73">
        <v>0.01</v>
      </c>
      <c r="D161" s="8">
        <v>1210</v>
      </c>
      <c r="E161" s="8">
        <v>1190</v>
      </c>
      <c r="F161" s="8">
        <v>850</v>
      </c>
      <c r="G161" s="8">
        <v>1940</v>
      </c>
      <c r="H161" s="8">
        <v>365</v>
      </c>
      <c r="I161" s="73">
        <v>0.34</v>
      </c>
      <c r="J161" s="73">
        <v>0.34</v>
      </c>
      <c r="K161" s="73">
        <v>0.24</v>
      </c>
      <c r="L161" s="73">
        <v>0.55000000000000004</v>
      </c>
      <c r="M161" s="73">
        <v>0.1</v>
      </c>
    </row>
    <row r="162" spans="1:13" ht="15.75" thickBot="1" x14ac:dyDescent="0.3">
      <c r="A162" s="93" t="s">
        <v>197</v>
      </c>
      <c r="B162" s="8">
        <v>19480</v>
      </c>
      <c r="C162" s="73">
        <v>1</v>
      </c>
      <c r="D162" s="8">
        <v>18770</v>
      </c>
      <c r="E162" s="8">
        <v>0</v>
      </c>
      <c r="F162" s="8">
        <v>0</v>
      </c>
      <c r="G162" s="8">
        <v>0</v>
      </c>
      <c r="H162" s="8">
        <v>705</v>
      </c>
      <c r="I162" s="73">
        <v>0.96</v>
      </c>
      <c r="J162" s="73">
        <v>0</v>
      </c>
      <c r="K162" s="73">
        <v>0</v>
      </c>
      <c r="L162" s="73">
        <v>0</v>
      </c>
      <c r="M162" s="73">
        <v>0.04</v>
      </c>
    </row>
    <row r="163" spans="1:13" ht="15.75" thickBot="1" x14ac:dyDescent="0.3">
      <c r="A163" s="93" t="s">
        <v>198</v>
      </c>
      <c r="B163" s="8">
        <v>128070</v>
      </c>
      <c r="C163" s="73">
        <v>1</v>
      </c>
      <c r="D163" s="8">
        <v>35225</v>
      </c>
      <c r="E163" s="8">
        <v>49275</v>
      </c>
      <c r="F163" s="8">
        <v>27285</v>
      </c>
      <c r="G163" s="8">
        <v>54705</v>
      </c>
      <c r="H163" s="8">
        <v>16100</v>
      </c>
      <c r="I163" s="73">
        <v>0.28000000000000003</v>
      </c>
      <c r="J163" s="73">
        <v>0.38</v>
      </c>
      <c r="K163" s="73">
        <v>0.21</v>
      </c>
      <c r="L163" s="73">
        <v>0.43</v>
      </c>
      <c r="M163" s="73">
        <v>0.13</v>
      </c>
    </row>
    <row r="164" spans="1:13" ht="15.75" thickBot="1" x14ac:dyDescent="0.3">
      <c r="A164" s="93" t="s">
        <v>199</v>
      </c>
      <c r="B164" s="8">
        <v>118600</v>
      </c>
      <c r="C164" s="73">
        <v>1</v>
      </c>
      <c r="D164" s="8">
        <v>34035</v>
      </c>
      <c r="E164" s="8">
        <v>38475</v>
      </c>
      <c r="F164" s="8">
        <v>33155</v>
      </c>
      <c r="G164" s="8">
        <v>77300</v>
      </c>
      <c r="H164" s="8">
        <v>14300</v>
      </c>
      <c r="I164" s="73">
        <v>0.28999999999999998</v>
      </c>
      <c r="J164" s="73">
        <v>0.32</v>
      </c>
      <c r="K164" s="73">
        <v>0.28000000000000003</v>
      </c>
      <c r="L164" s="73">
        <v>0.65</v>
      </c>
      <c r="M164" s="73">
        <v>0.12</v>
      </c>
    </row>
    <row r="165" spans="1:13" ht="15.75" thickBot="1" x14ac:dyDescent="0.3">
      <c r="A165" s="93" t="s">
        <v>200</v>
      </c>
      <c r="B165" s="8">
        <v>57760</v>
      </c>
      <c r="C165" s="73">
        <v>1</v>
      </c>
      <c r="D165" s="8">
        <v>21185</v>
      </c>
      <c r="E165" s="8">
        <v>17290</v>
      </c>
      <c r="F165" s="8">
        <v>19830</v>
      </c>
      <c r="G165" s="8">
        <v>38830</v>
      </c>
      <c r="H165" s="8">
        <v>4185</v>
      </c>
      <c r="I165" s="73">
        <v>0.37</v>
      </c>
      <c r="J165" s="73">
        <v>0.3</v>
      </c>
      <c r="K165" s="73">
        <v>0.34</v>
      </c>
      <c r="L165" s="73">
        <v>0.67</v>
      </c>
      <c r="M165" s="73">
        <v>7.0000000000000007E-2</v>
      </c>
    </row>
    <row r="166" spans="1:13" ht="15.75" thickBot="1" x14ac:dyDescent="0.3">
      <c r="A166" s="93" t="s">
        <v>254</v>
      </c>
      <c r="B166" s="8">
        <v>323915</v>
      </c>
      <c r="C166" s="73">
        <v>1</v>
      </c>
      <c r="D166" s="8">
        <v>109220</v>
      </c>
      <c r="E166" s="8">
        <v>105040</v>
      </c>
      <c r="F166" s="8">
        <v>80270</v>
      </c>
      <c r="G166" s="8">
        <v>170840</v>
      </c>
      <c r="H166" s="8">
        <v>35295</v>
      </c>
      <c r="I166" s="73">
        <v>0.34</v>
      </c>
      <c r="J166" s="73">
        <v>0.32</v>
      </c>
      <c r="K166" s="73">
        <v>0.25</v>
      </c>
      <c r="L166" s="73">
        <v>0.53</v>
      </c>
      <c r="M166" s="73">
        <v>0.11</v>
      </c>
    </row>
    <row r="167" spans="1:13" ht="30.75" thickBot="1" x14ac:dyDescent="0.3">
      <c r="A167" s="93" t="s">
        <v>214</v>
      </c>
      <c r="B167" s="8">
        <v>35</v>
      </c>
      <c r="C167" s="73">
        <v>0</v>
      </c>
      <c r="D167" s="8">
        <v>30</v>
      </c>
      <c r="E167" s="8">
        <v>0</v>
      </c>
      <c r="F167" s="8">
        <v>0</v>
      </c>
      <c r="G167" s="8">
        <v>0</v>
      </c>
      <c r="H167" s="8">
        <v>5</v>
      </c>
      <c r="I167" s="73">
        <v>0.88</v>
      </c>
      <c r="J167" s="73">
        <v>0</v>
      </c>
      <c r="K167" s="73">
        <v>0</v>
      </c>
      <c r="L167" s="73">
        <v>0</v>
      </c>
      <c r="M167" s="8">
        <v>0.12</v>
      </c>
    </row>
    <row r="168" spans="1:13" ht="30.75" thickBot="1" x14ac:dyDescent="0.3">
      <c r="A168" s="93" t="s">
        <v>215</v>
      </c>
      <c r="B168" s="8">
        <v>220</v>
      </c>
      <c r="C168" s="73">
        <v>0</v>
      </c>
      <c r="D168" s="8">
        <v>95</v>
      </c>
      <c r="E168" s="8">
        <v>100</v>
      </c>
      <c r="F168" s="8">
        <v>20</v>
      </c>
      <c r="G168" s="8">
        <v>120</v>
      </c>
      <c r="H168" s="8">
        <v>15</v>
      </c>
      <c r="I168" s="73">
        <v>0.44</v>
      </c>
      <c r="J168" s="73">
        <v>0.46</v>
      </c>
      <c r="K168" s="73">
        <v>0.1</v>
      </c>
      <c r="L168" s="73">
        <v>0.54</v>
      </c>
      <c r="M168" s="73">
        <v>7.0000000000000007E-2</v>
      </c>
    </row>
    <row r="169" spans="1:13" ht="30.75" thickBot="1" x14ac:dyDescent="0.3">
      <c r="A169" s="93" t="s">
        <v>216</v>
      </c>
      <c r="B169" s="8">
        <v>225</v>
      </c>
      <c r="C169" s="73">
        <v>0</v>
      </c>
      <c r="D169" s="8">
        <v>75</v>
      </c>
      <c r="E169" s="8">
        <v>85</v>
      </c>
      <c r="F169" s="8">
        <v>35</v>
      </c>
      <c r="G169" s="8">
        <v>170</v>
      </c>
      <c r="H169" s="8">
        <v>20</v>
      </c>
      <c r="I169" s="73">
        <v>0.35</v>
      </c>
      <c r="J169" s="73">
        <v>0.37</v>
      </c>
      <c r="K169" s="73">
        <v>0.16</v>
      </c>
      <c r="L169" s="73">
        <v>0.77</v>
      </c>
      <c r="M169" s="73">
        <v>0.08</v>
      </c>
    </row>
    <row r="170" spans="1:13" ht="30.75" thickBot="1" x14ac:dyDescent="0.3">
      <c r="A170" s="93" t="s">
        <v>217</v>
      </c>
      <c r="B170" s="8">
        <v>170</v>
      </c>
      <c r="C170" s="73">
        <v>0</v>
      </c>
      <c r="D170" s="8">
        <v>70</v>
      </c>
      <c r="E170" s="8">
        <v>55</v>
      </c>
      <c r="F170" s="8">
        <v>40</v>
      </c>
      <c r="G170" s="8">
        <v>130</v>
      </c>
      <c r="H170" s="8">
        <v>10</v>
      </c>
      <c r="I170" s="73">
        <v>0.41</v>
      </c>
      <c r="J170" s="73">
        <v>0.33</v>
      </c>
      <c r="K170" s="73">
        <v>0.22</v>
      </c>
      <c r="L170" s="73">
        <v>0.77</v>
      </c>
      <c r="M170" s="73">
        <v>0.06</v>
      </c>
    </row>
    <row r="171" spans="1:13" ht="30.75" thickBot="1" x14ac:dyDescent="0.3">
      <c r="A171" s="93" t="s">
        <v>258</v>
      </c>
      <c r="B171" s="8">
        <v>650</v>
      </c>
      <c r="C171" s="73">
        <v>0</v>
      </c>
      <c r="D171" s="8">
        <v>275</v>
      </c>
      <c r="E171" s="8">
        <v>240</v>
      </c>
      <c r="F171" s="8">
        <v>95</v>
      </c>
      <c r="G171" s="8">
        <v>420</v>
      </c>
      <c r="H171" s="8">
        <v>45</v>
      </c>
      <c r="I171" s="73">
        <v>0.42</v>
      </c>
      <c r="J171" s="73">
        <v>0.37</v>
      </c>
      <c r="K171" s="73">
        <v>0.15</v>
      </c>
      <c r="L171" s="73">
        <v>0.65</v>
      </c>
      <c r="M171" s="73">
        <v>7.0000000000000007E-2</v>
      </c>
    </row>
    <row r="172" spans="1:13" ht="15.75" thickBot="1" x14ac:dyDescent="0.3">
      <c r="A172" s="93" t="s">
        <v>201</v>
      </c>
      <c r="B172" s="8">
        <v>455</v>
      </c>
      <c r="C172" s="73">
        <v>0.02</v>
      </c>
      <c r="D172" s="8">
        <v>440</v>
      </c>
      <c r="E172" s="8">
        <v>0</v>
      </c>
      <c r="F172" s="8">
        <v>0</v>
      </c>
      <c r="G172" s="8">
        <v>0</v>
      </c>
      <c r="H172" s="8">
        <v>20</v>
      </c>
      <c r="I172" s="73">
        <v>0.96</v>
      </c>
      <c r="J172" s="73">
        <v>0</v>
      </c>
      <c r="K172" s="73">
        <v>0</v>
      </c>
      <c r="L172" s="73">
        <v>0</v>
      </c>
      <c r="M172" s="73">
        <v>0.04</v>
      </c>
    </row>
    <row r="173" spans="1:13" ht="15.75" thickBot="1" x14ac:dyDescent="0.3">
      <c r="A173" s="93" t="s">
        <v>202</v>
      </c>
      <c r="B173" s="8">
        <v>3160</v>
      </c>
      <c r="C173" s="73">
        <v>0.02</v>
      </c>
      <c r="D173" s="8">
        <v>760</v>
      </c>
      <c r="E173" s="8">
        <v>1200</v>
      </c>
      <c r="F173" s="8">
        <v>675</v>
      </c>
      <c r="G173" s="8">
        <v>1260</v>
      </c>
      <c r="H173" s="8">
        <v>490</v>
      </c>
      <c r="I173" s="73">
        <v>0.24</v>
      </c>
      <c r="J173" s="73">
        <v>0.38</v>
      </c>
      <c r="K173" s="73">
        <v>0.21</v>
      </c>
      <c r="L173" s="73">
        <v>0.4</v>
      </c>
      <c r="M173" s="73">
        <v>0.15</v>
      </c>
    </row>
    <row r="174" spans="1:13" ht="15.75" thickBot="1" x14ac:dyDescent="0.3">
      <c r="A174" s="93" t="s">
        <v>203</v>
      </c>
      <c r="B174" s="8">
        <v>2660</v>
      </c>
      <c r="C174" s="73">
        <v>0.02</v>
      </c>
      <c r="D174" s="8">
        <v>710</v>
      </c>
      <c r="E174" s="8">
        <v>830</v>
      </c>
      <c r="F174" s="8">
        <v>770</v>
      </c>
      <c r="G174" s="8">
        <v>1710</v>
      </c>
      <c r="H174" s="8">
        <v>310</v>
      </c>
      <c r="I174" s="73">
        <v>0.27</v>
      </c>
      <c r="J174" s="73">
        <v>0.31</v>
      </c>
      <c r="K174" s="73">
        <v>0.28999999999999998</v>
      </c>
      <c r="L174" s="73">
        <v>0.64</v>
      </c>
      <c r="M174" s="73">
        <v>0.12</v>
      </c>
    </row>
    <row r="175" spans="1:13" ht="15.75" thickBot="1" x14ac:dyDescent="0.3">
      <c r="A175" s="93" t="s">
        <v>204</v>
      </c>
      <c r="B175" s="8">
        <v>1375</v>
      </c>
      <c r="C175" s="73">
        <v>0.02</v>
      </c>
      <c r="D175" s="8">
        <v>500</v>
      </c>
      <c r="E175" s="8">
        <v>380</v>
      </c>
      <c r="F175" s="8">
        <v>485</v>
      </c>
      <c r="G175" s="8">
        <v>915</v>
      </c>
      <c r="H175" s="8">
        <v>105</v>
      </c>
      <c r="I175" s="73">
        <v>0.36</v>
      </c>
      <c r="J175" s="73">
        <v>0.28000000000000003</v>
      </c>
      <c r="K175" s="73">
        <v>0.35</v>
      </c>
      <c r="L175" s="73">
        <v>0.66</v>
      </c>
      <c r="M175" s="73">
        <v>0.08</v>
      </c>
    </row>
    <row r="176" spans="1:13" ht="15.75" thickBot="1" x14ac:dyDescent="0.3">
      <c r="A176" s="93" t="s">
        <v>255</v>
      </c>
      <c r="B176" s="8">
        <v>7655</v>
      </c>
      <c r="C176" s="73">
        <v>0.02</v>
      </c>
      <c r="D176" s="8">
        <v>2410</v>
      </c>
      <c r="E176" s="8">
        <v>2410</v>
      </c>
      <c r="F176" s="8">
        <v>1930</v>
      </c>
      <c r="G176" s="8">
        <v>3890</v>
      </c>
      <c r="H176" s="8">
        <v>925</v>
      </c>
      <c r="I176" s="73">
        <v>0.31</v>
      </c>
      <c r="J176" s="73">
        <v>0.31</v>
      </c>
      <c r="K176" s="73">
        <v>0.25</v>
      </c>
      <c r="L176" s="73">
        <v>0.51</v>
      </c>
      <c r="M176" s="73">
        <v>0.12</v>
      </c>
    </row>
    <row r="177" spans="1:13" ht="15.75" thickBot="1" x14ac:dyDescent="0.3">
      <c r="A177" s="93" t="s">
        <v>205</v>
      </c>
      <c r="B177" s="8">
        <v>670</v>
      </c>
      <c r="C177" s="73">
        <v>0.03</v>
      </c>
      <c r="D177" s="8">
        <v>645</v>
      </c>
      <c r="E177" s="8">
        <v>0</v>
      </c>
      <c r="F177" s="8">
        <v>0</v>
      </c>
      <c r="G177" s="8">
        <v>0</v>
      </c>
      <c r="H177" s="8">
        <v>25</v>
      </c>
      <c r="I177" s="73">
        <v>0.97</v>
      </c>
      <c r="J177" s="73">
        <v>0</v>
      </c>
      <c r="K177" s="73">
        <v>0</v>
      </c>
      <c r="L177" s="73">
        <v>0</v>
      </c>
      <c r="M177" s="73">
        <v>0.03</v>
      </c>
    </row>
    <row r="178" spans="1:13" ht="15.75" thickBot="1" x14ac:dyDescent="0.3">
      <c r="A178" s="93" t="s">
        <v>206</v>
      </c>
      <c r="B178" s="8">
        <v>4855</v>
      </c>
      <c r="C178" s="73">
        <v>0.04</v>
      </c>
      <c r="D178" s="8">
        <v>1085</v>
      </c>
      <c r="E178" s="8">
        <v>1900</v>
      </c>
      <c r="F178" s="8">
        <v>1170</v>
      </c>
      <c r="G178" s="8">
        <v>1900</v>
      </c>
      <c r="H178" s="8">
        <v>655</v>
      </c>
      <c r="I178" s="73">
        <v>0.22</v>
      </c>
      <c r="J178" s="73">
        <v>0.39</v>
      </c>
      <c r="K178" s="73">
        <v>0.24</v>
      </c>
      <c r="L178" s="73">
        <v>0.39</v>
      </c>
      <c r="M178" s="73">
        <v>0.13</v>
      </c>
    </row>
    <row r="179" spans="1:13" ht="15.75" thickBot="1" x14ac:dyDescent="0.3">
      <c r="A179" s="93" t="s">
        <v>207</v>
      </c>
      <c r="B179" s="8">
        <v>4425</v>
      </c>
      <c r="C179" s="73">
        <v>0.04</v>
      </c>
      <c r="D179" s="8">
        <v>1240</v>
      </c>
      <c r="E179" s="8">
        <v>1405</v>
      </c>
      <c r="F179" s="8">
        <v>1340</v>
      </c>
      <c r="G179" s="8">
        <v>2785</v>
      </c>
      <c r="H179" s="8">
        <v>530</v>
      </c>
      <c r="I179" s="73">
        <v>0.28000000000000003</v>
      </c>
      <c r="J179" s="73">
        <v>0.32</v>
      </c>
      <c r="K179" s="73">
        <v>0.3</v>
      </c>
      <c r="L179" s="73">
        <v>0.63</v>
      </c>
      <c r="M179" s="73">
        <v>0.12</v>
      </c>
    </row>
    <row r="180" spans="1:13" ht="15.75" thickBot="1" x14ac:dyDescent="0.3">
      <c r="A180" s="93" t="s">
        <v>208</v>
      </c>
      <c r="B180" s="8">
        <v>2235</v>
      </c>
      <c r="C180" s="73">
        <v>0.04</v>
      </c>
      <c r="D180" s="8">
        <v>780</v>
      </c>
      <c r="E180" s="8">
        <v>650</v>
      </c>
      <c r="F180" s="8">
        <v>775</v>
      </c>
      <c r="G180" s="8">
        <v>1475</v>
      </c>
      <c r="H180" s="8">
        <v>135</v>
      </c>
      <c r="I180" s="73">
        <v>0.35</v>
      </c>
      <c r="J180" s="73">
        <v>0.28999999999999998</v>
      </c>
      <c r="K180" s="73">
        <v>0.35</v>
      </c>
      <c r="L180" s="73">
        <v>0.66</v>
      </c>
      <c r="M180" s="73">
        <v>0.06</v>
      </c>
    </row>
    <row r="181" spans="1:13" x14ac:dyDescent="0.25">
      <c r="A181" s="94" t="s">
        <v>256</v>
      </c>
      <c r="B181" s="8">
        <v>12180</v>
      </c>
      <c r="C181" s="73">
        <v>0.04</v>
      </c>
      <c r="D181" s="8">
        <v>3745</v>
      </c>
      <c r="E181" s="8">
        <v>3955</v>
      </c>
      <c r="F181" s="8">
        <v>3285</v>
      </c>
      <c r="G181" s="8">
        <v>6160</v>
      </c>
      <c r="H181" s="8">
        <v>1340</v>
      </c>
      <c r="I181" s="73">
        <v>0.31</v>
      </c>
      <c r="J181" s="73">
        <v>0.32</v>
      </c>
      <c r="K181" s="73">
        <v>0.27</v>
      </c>
      <c r="L181" s="73">
        <v>0.51</v>
      </c>
      <c r="M181" s="73">
        <v>0.11</v>
      </c>
    </row>
  </sheetData>
  <sheetProtection sheet="1" objects="1" scenarios="1"/>
  <pageMargins left="0.7" right="0.7" top="0.75" bottom="0.75" header="0.3" footer="0.3"/>
  <pageSetup paperSize="9"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91"/>
  <sheetViews>
    <sheetView zoomScale="75" zoomScaleNormal="75" workbookViewId="0"/>
  </sheetViews>
  <sheetFormatPr defaultRowHeight="15" x14ac:dyDescent="0.25"/>
  <cols>
    <col min="1" max="1" width="31.140625" customWidth="1"/>
    <col min="2" max="2" width="18" customWidth="1"/>
    <col min="3" max="3" width="13.42578125" customWidth="1"/>
    <col min="4" max="4" width="14.42578125" customWidth="1"/>
    <col min="5" max="5" width="16.28515625" customWidth="1"/>
    <col min="6" max="6" width="14.140625" customWidth="1"/>
    <col min="7" max="7" width="14.5703125" customWidth="1"/>
    <col min="8" max="8" width="15.42578125" customWidth="1"/>
    <col min="9" max="9" width="15.5703125" customWidth="1"/>
    <col min="10" max="10" width="16.140625" customWidth="1"/>
    <col min="12" max="12" width="11.5703125" customWidth="1"/>
  </cols>
  <sheetData>
    <row r="1" spans="1:12" ht="63" x14ac:dyDescent="0.25">
      <c r="A1" s="91" t="s">
        <v>13</v>
      </c>
      <c r="B1" s="71" t="s">
        <v>736</v>
      </c>
      <c r="C1" s="71" t="s">
        <v>314</v>
      </c>
      <c r="D1" s="71" t="s">
        <v>60</v>
      </c>
      <c r="E1" s="71" t="s">
        <v>451</v>
      </c>
      <c r="F1" s="71" t="s">
        <v>452</v>
      </c>
      <c r="G1" s="71" t="s">
        <v>453</v>
      </c>
      <c r="H1" s="71" t="s">
        <v>315</v>
      </c>
      <c r="I1" s="71" t="s">
        <v>316</v>
      </c>
      <c r="J1" s="72" t="s">
        <v>317</v>
      </c>
      <c r="L1" s="72" t="s">
        <v>213</v>
      </c>
    </row>
    <row r="2" spans="1:12" ht="15.75" thickBot="1" x14ac:dyDescent="0.3">
      <c r="A2" s="93" t="s">
        <v>325</v>
      </c>
      <c r="B2" s="8">
        <v>1390</v>
      </c>
      <c r="C2" s="73">
        <v>7.0000000000000007E-2</v>
      </c>
      <c r="D2" s="8">
        <v>1290</v>
      </c>
      <c r="E2" s="8">
        <v>945</v>
      </c>
      <c r="F2" s="8">
        <v>310</v>
      </c>
      <c r="G2" s="8">
        <v>30</v>
      </c>
      <c r="H2" s="73">
        <v>0.73</v>
      </c>
      <c r="I2" s="73">
        <v>0.24</v>
      </c>
      <c r="J2" s="73">
        <v>0.02</v>
      </c>
      <c r="L2" s="22" t="s">
        <v>209</v>
      </c>
    </row>
    <row r="3" spans="1:12" ht="15.75" thickBot="1" x14ac:dyDescent="0.3">
      <c r="A3" s="93" t="s">
        <v>326</v>
      </c>
      <c r="B3" s="8">
        <v>10705</v>
      </c>
      <c r="C3" s="73">
        <v>0.08</v>
      </c>
      <c r="D3" s="8">
        <v>10055</v>
      </c>
      <c r="E3" s="8">
        <v>7130</v>
      </c>
      <c r="F3" s="8">
        <v>2455</v>
      </c>
      <c r="G3" s="8">
        <v>470</v>
      </c>
      <c r="H3" s="73">
        <v>0.71</v>
      </c>
      <c r="I3" s="73">
        <v>0.24</v>
      </c>
      <c r="J3" s="73">
        <v>0.05</v>
      </c>
      <c r="L3" s="22" t="s">
        <v>210</v>
      </c>
    </row>
    <row r="4" spans="1:12" ht="15.75" thickBot="1" x14ac:dyDescent="0.3">
      <c r="A4" s="93" t="s">
        <v>327</v>
      </c>
      <c r="B4" s="8">
        <v>9530</v>
      </c>
      <c r="C4" s="73">
        <v>0.08</v>
      </c>
      <c r="D4" s="8">
        <v>9095</v>
      </c>
      <c r="E4" s="8">
        <v>6470</v>
      </c>
      <c r="F4" s="8">
        <v>2490</v>
      </c>
      <c r="G4" s="8">
        <v>135</v>
      </c>
      <c r="H4" s="73">
        <v>0.71</v>
      </c>
      <c r="I4" s="73">
        <v>0.27</v>
      </c>
      <c r="J4" s="73">
        <v>0.01</v>
      </c>
      <c r="L4" s="22" t="s">
        <v>211</v>
      </c>
    </row>
    <row r="5" spans="1:12" ht="15.75" thickBot="1" x14ac:dyDescent="0.3">
      <c r="A5" s="93" t="s">
        <v>328</v>
      </c>
      <c r="B5" s="8">
        <v>4720</v>
      </c>
      <c r="C5" s="73">
        <v>0.08</v>
      </c>
      <c r="D5" s="8">
        <v>5295</v>
      </c>
      <c r="E5" s="8">
        <v>3850</v>
      </c>
      <c r="F5" s="8">
        <v>1095</v>
      </c>
      <c r="G5" s="8">
        <v>350</v>
      </c>
      <c r="H5" s="73">
        <v>0.73</v>
      </c>
      <c r="I5" s="73">
        <v>0.21</v>
      </c>
      <c r="J5" s="73">
        <v>7.0000000000000007E-2</v>
      </c>
      <c r="L5" s="22" t="s">
        <v>212</v>
      </c>
    </row>
    <row r="6" spans="1:12" ht="15.75" thickBot="1" x14ac:dyDescent="0.3">
      <c r="A6" s="93" t="s">
        <v>329</v>
      </c>
      <c r="B6" s="8">
        <v>26345</v>
      </c>
      <c r="C6" s="73">
        <v>0.08</v>
      </c>
      <c r="D6" s="8">
        <v>25740</v>
      </c>
      <c r="E6" s="8">
        <v>18400</v>
      </c>
      <c r="F6" s="8">
        <v>6355</v>
      </c>
      <c r="G6" s="8">
        <v>985</v>
      </c>
      <c r="H6" s="73">
        <v>0.71</v>
      </c>
      <c r="I6" s="73">
        <v>0.25</v>
      </c>
      <c r="J6" s="73">
        <v>0.04</v>
      </c>
      <c r="L6" s="22" t="s">
        <v>222</v>
      </c>
    </row>
    <row r="7" spans="1:12" ht="15.75" thickBot="1" x14ac:dyDescent="0.3">
      <c r="A7" s="93" t="s">
        <v>330</v>
      </c>
      <c r="B7" s="8">
        <v>295</v>
      </c>
      <c r="C7" s="73">
        <v>0.02</v>
      </c>
      <c r="D7" s="8">
        <v>280</v>
      </c>
      <c r="E7" s="8">
        <v>205</v>
      </c>
      <c r="F7" s="8">
        <v>65</v>
      </c>
      <c r="G7" s="8">
        <v>10</v>
      </c>
      <c r="H7" s="73">
        <v>0.73</v>
      </c>
      <c r="I7" s="73">
        <v>0.23</v>
      </c>
      <c r="J7" s="73">
        <v>0.04</v>
      </c>
    </row>
    <row r="8" spans="1:12" ht="15.75" thickBot="1" x14ac:dyDescent="0.3">
      <c r="A8" s="93" t="s">
        <v>331</v>
      </c>
      <c r="B8" s="8">
        <v>1850</v>
      </c>
      <c r="C8" s="73">
        <v>0.01</v>
      </c>
      <c r="D8" s="8">
        <v>1710</v>
      </c>
      <c r="E8" s="8">
        <v>1255</v>
      </c>
      <c r="F8" s="8">
        <v>390</v>
      </c>
      <c r="G8" s="8">
        <v>65</v>
      </c>
      <c r="H8" s="73">
        <v>0.73</v>
      </c>
      <c r="I8" s="73">
        <v>0.23</v>
      </c>
      <c r="J8" s="73">
        <v>0.04</v>
      </c>
    </row>
    <row r="9" spans="1:12" ht="15.75" thickBot="1" x14ac:dyDescent="0.3">
      <c r="A9" s="93" t="s">
        <v>332</v>
      </c>
      <c r="B9" s="8">
        <v>2020</v>
      </c>
      <c r="C9" s="73">
        <v>0.02</v>
      </c>
      <c r="D9" s="8">
        <v>1930</v>
      </c>
      <c r="E9" s="8">
        <v>1355</v>
      </c>
      <c r="F9" s="8">
        <v>540</v>
      </c>
      <c r="G9" s="8">
        <v>35</v>
      </c>
      <c r="H9" s="73">
        <v>0.7</v>
      </c>
      <c r="I9" s="73">
        <v>0.28000000000000003</v>
      </c>
      <c r="J9" s="73">
        <v>0.02</v>
      </c>
    </row>
    <row r="10" spans="1:12" ht="15.75" thickBot="1" x14ac:dyDescent="0.3">
      <c r="A10" s="93" t="s">
        <v>333</v>
      </c>
      <c r="B10" s="8">
        <v>1010</v>
      </c>
      <c r="C10" s="73">
        <v>0.02</v>
      </c>
      <c r="D10" s="8">
        <v>1095</v>
      </c>
      <c r="E10" s="8">
        <v>785</v>
      </c>
      <c r="F10" s="8">
        <v>260</v>
      </c>
      <c r="G10" s="8">
        <v>50</v>
      </c>
      <c r="H10" s="73">
        <v>0.72</v>
      </c>
      <c r="I10" s="73">
        <v>0.24</v>
      </c>
      <c r="J10" s="73">
        <v>0.04</v>
      </c>
    </row>
    <row r="11" spans="1:12" ht="15.75" thickBot="1" x14ac:dyDescent="0.3">
      <c r="A11" s="93" t="s">
        <v>334</v>
      </c>
      <c r="B11" s="8">
        <v>5175</v>
      </c>
      <c r="C11" s="73">
        <v>0.02</v>
      </c>
      <c r="D11" s="8">
        <v>5015</v>
      </c>
      <c r="E11" s="8">
        <v>3600</v>
      </c>
      <c r="F11" s="8">
        <v>1255</v>
      </c>
      <c r="G11" s="8">
        <v>155</v>
      </c>
      <c r="H11" s="73">
        <v>0.72</v>
      </c>
      <c r="I11" s="73">
        <v>0.25</v>
      </c>
      <c r="J11" s="73">
        <v>0.03</v>
      </c>
    </row>
    <row r="12" spans="1:12" ht="30.75" thickBot="1" x14ac:dyDescent="0.3">
      <c r="A12" s="93" t="s">
        <v>335</v>
      </c>
      <c r="B12" s="8">
        <v>425</v>
      </c>
      <c r="C12" s="73">
        <v>0.02</v>
      </c>
      <c r="D12" s="8">
        <v>395</v>
      </c>
      <c r="E12" s="8">
        <v>290</v>
      </c>
      <c r="F12" s="8">
        <v>100</v>
      </c>
      <c r="G12" s="8">
        <v>10</v>
      </c>
      <c r="H12" s="73">
        <v>0.73</v>
      </c>
      <c r="I12" s="73">
        <v>0.25</v>
      </c>
      <c r="J12" s="73">
        <v>0.02</v>
      </c>
    </row>
    <row r="13" spans="1:12" ht="30.75" thickBot="1" x14ac:dyDescent="0.3">
      <c r="A13" s="93" t="s">
        <v>336</v>
      </c>
      <c r="B13" s="8">
        <v>3295</v>
      </c>
      <c r="C13" s="73">
        <v>0.03</v>
      </c>
      <c r="D13" s="8">
        <v>3065</v>
      </c>
      <c r="E13" s="8">
        <v>2220</v>
      </c>
      <c r="F13" s="8">
        <v>710</v>
      </c>
      <c r="G13" s="8">
        <v>135</v>
      </c>
      <c r="H13" s="73">
        <v>0.73</v>
      </c>
      <c r="I13" s="73">
        <v>0.23</v>
      </c>
      <c r="J13" s="73">
        <v>0.04</v>
      </c>
    </row>
    <row r="14" spans="1:12" ht="30.75" thickBot="1" x14ac:dyDescent="0.3">
      <c r="A14" s="93" t="s">
        <v>337</v>
      </c>
      <c r="B14" s="8">
        <v>3065</v>
      </c>
      <c r="C14" s="73">
        <v>0.03</v>
      </c>
      <c r="D14" s="8">
        <v>2960</v>
      </c>
      <c r="E14" s="8">
        <v>2090</v>
      </c>
      <c r="F14" s="8">
        <v>820</v>
      </c>
      <c r="G14" s="8">
        <v>55</v>
      </c>
      <c r="H14" s="73">
        <v>0.71</v>
      </c>
      <c r="I14" s="73">
        <v>0.28000000000000003</v>
      </c>
      <c r="J14" s="73">
        <v>0.02</v>
      </c>
    </row>
    <row r="15" spans="1:12" ht="30.75" thickBot="1" x14ac:dyDescent="0.3">
      <c r="A15" s="93" t="s">
        <v>338</v>
      </c>
      <c r="B15" s="8">
        <v>1455</v>
      </c>
      <c r="C15" s="73">
        <v>0.03</v>
      </c>
      <c r="D15" s="8">
        <v>1605</v>
      </c>
      <c r="E15" s="8">
        <v>1125</v>
      </c>
      <c r="F15" s="8">
        <v>375</v>
      </c>
      <c r="G15" s="8">
        <v>110</v>
      </c>
      <c r="H15" s="73">
        <v>0.7</v>
      </c>
      <c r="I15" s="73">
        <v>0.23</v>
      </c>
      <c r="J15" s="73">
        <v>7.0000000000000007E-2</v>
      </c>
    </row>
    <row r="16" spans="1:12" ht="15.75" thickBot="1" x14ac:dyDescent="0.3">
      <c r="A16" s="93" t="s">
        <v>339</v>
      </c>
      <c r="B16" s="8">
        <v>8240</v>
      </c>
      <c r="C16" s="73">
        <v>0.03</v>
      </c>
      <c r="D16" s="8">
        <v>8030</v>
      </c>
      <c r="E16" s="8">
        <v>5725</v>
      </c>
      <c r="F16" s="8">
        <v>2000</v>
      </c>
      <c r="G16" s="8">
        <v>305</v>
      </c>
      <c r="H16" s="73">
        <v>0.71</v>
      </c>
      <c r="I16" s="73">
        <v>0.25</v>
      </c>
      <c r="J16" s="73">
        <v>0.04</v>
      </c>
    </row>
    <row r="17" spans="1:10" ht="15.75" thickBot="1" x14ac:dyDescent="0.3">
      <c r="A17" s="93" t="s">
        <v>125</v>
      </c>
      <c r="B17" s="8">
        <v>1325</v>
      </c>
      <c r="C17" s="73">
        <v>7.0000000000000007E-2</v>
      </c>
      <c r="D17" s="8">
        <v>1230</v>
      </c>
      <c r="E17" s="8">
        <v>910</v>
      </c>
      <c r="F17" s="8">
        <v>305</v>
      </c>
      <c r="G17" s="8">
        <v>15</v>
      </c>
      <c r="H17" s="73">
        <v>0.74</v>
      </c>
      <c r="I17" s="73">
        <v>0.25</v>
      </c>
      <c r="J17" s="73">
        <v>0.01</v>
      </c>
    </row>
    <row r="18" spans="1:10" ht="15.75" thickBot="1" x14ac:dyDescent="0.3">
      <c r="A18" s="93" t="s">
        <v>126</v>
      </c>
      <c r="B18" s="8">
        <v>9480</v>
      </c>
      <c r="C18" s="73">
        <v>7.0000000000000007E-2</v>
      </c>
      <c r="D18" s="8">
        <v>8885</v>
      </c>
      <c r="E18" s="8">
        <v>6310</v>
      </c>
      <c r="F18" s="8">
        <v>2165</v>
      </c>
      <c r="G18" s="8">
        <v>410</v>
      </c>
      <c r="H18" s="73">
        <v>0.71</v>
      </c>
      <c r="I18" s="73">
        <v>0.24</v>
      </c>
      <c r="J18" s="73">
        <v>0.05</v>
      </c>
    </row>
    <row r="19" spans="1:10" ht="15.75" thickBot="1" x14ac:dyDescent="0.3">
      <c r="A19" s="93" t="s">
        <v>127</v>
      </c>
      <c r="B19" s="8">
        <v>8500</v>
      </c>
      <c r="C19" s="73">
        <v>7.0000000000000007E-2</v>
      </c>
      <c r="D19" s="8">
        <v>8125</v>
      </c>
      <c r="E19" s="8">
        <v>5825</v>
      </c>
      <c r="F19" s="8">
        <v>2195</v>
      </c>
      <c r="G19" s="8">
        <v>105</v>
      </c>
      <c r="H19" s="73">
        <v>0.72</v>
      </c>
      <c r="I19" s="73">
        <v>0.27</v>
      </c>
      <c r="J19" s="73">
        <v>0.01</v>
      </c>
    </row>
    <row r="20" spans="1:10" ht="15.75" thickBot="1" x14ac:dyDescent="0.3">
      <c r="A20" s="93" t="s">
        <v>128</v>
      </c>
      <c r="B20" s="8">
        <v>4455</v>
      </c>
      <c r="C20" s="73">
        <v>0.08</v>
      </c>
      <c r="D20" s="8">
        <v>4905</v>
      </c>
      <c r="E20" s="8">
        <v>3600</v>
      </c>
      <c r="F20" s="8">
        <v>1015</v>
      </c>
      <c r="G20" s="8">
        <v>290</v>
      </c>
      <c r="H20" s="73">
        <v>0.73</v>
      </c>
      <c r="I20" s="73">
        <v>0.21</v>
      </c>
      <c r="J20" s="73">
        <v>0.06</v>
      </c>
    </row>
    <row r="21" spans="1:10" ht="15.75" thickBot="1" x14ac:dyDescent="0.3">
      <c r="A21" s="93" t="s">
        <v>236</v>
      </c>
      <c r="B21" s="8">
        <v>23760</v>
      </c>
      <c r="C21" s="73">
        <v>7.0000000000000007E-2</v>
      </c>
      <c r="D21" s="8">
        <v>23150</v>
      </c>
      <c r="E21" s="8">
        <v>16650</v>
      </c>
      <c r="F21" s="8">
        <v>5680</v>
      </c>
      <c r="G21" s="8">
        <v>825</v>
      </c>
      <c r="H21" s="73">
        <v>0.72</v>
      </c>
      <c r="I21" s="73">
        <v>0.25</v>
      </c>
      <c r="J21" s="73">
        <v>0.04</v>
      </c>
    </row>
    <row r="22" spans="1:10" ht="15.75" thickBot="1" x14ac:dyDescent="0.3">
      <c r="A22" s="93" t="s">
        <v>340</v>
      </c>
      <c r="B22" s="8">
        <v>890</v>
      </c>
      <c r="C22" s="73">
        <v>0.05</v>
      </c>
      <c r="D22" s="8">
        <v>795</v>
      </c>
      <c r="E22" s="8">
        <v>555</v>
      </c>
      <c r="F22" s="8">
        <v>220</v>
      </c>
      <c r="G22" s="8">
        <v>25</v>
      </c>
      <c r="H22" s="73">
        <v>0.7</v>
      </c>
      <c r="I22" s="73">
        <v>0.27</v>
      </c>
      <c r="J22" s="73">
        <v>0.03</v>
      </c>
    </row>
    <row r="23" spans="1:10" ht="15.75" thickBot="1" x14ac:dyDescent="0.3">
      <c r="A23" s="93" t="s">
        <v>341</v>
      </c>
      <c r="B23" s="8">
        <v>6285</v>
      </c>
      <c r="C23" s="73">
        <v>0.05</v>
      </c>
      <c r="D23" s="8">
        <v>5940</v>
      </c>
      <c r="E23" s="8">
        <v>4265</v>
      </c>
      <c r="F23" s="8">
        <v>1410</v>
      </c>
      <c r="G23" s="8">
        <v>265</v>
      </c>
      <c r="H23" s="73">
        <v>0.72</v>
      </c>
      <c r="I23" s="73">
        <v>0.24</v>
      </c>
      <c r="J23" s="73">
        <v>0.04</v>
      </c>
    </row>
    <row r="24" spans="1:10" ht="15.75" thickBot="1" x14ac:dyDescent="0.3">
      <c r="A24" s="93" t="s">
        <v>342</v>
      </c>
      <c r="B24" s="8">
        <v>5950</v>
      </c>
      <c r="C24" s="73">
        <v>0.05</v>
      </c>
      <c r="D24" s="8">
        <v>5660</v>
      </c>
      <c r="E24" s="8">
        <v>4060</v>
      </c>
      <c r="F24" s="8">
        <v>1500</v>
      </c>
      <c r="G24" s="8">
        <v>100</v>
      </c>
      <c r="H24" s="73">
        <v>0.72</v>
      </c>
      <c r="I24" s="73">
        <v>0.27</v>
      </c>
      <c r="J24" s="73">
        <v>0.02</v>
      </c>
    </row>
    <row r="25" spans="1:10" ht="15.75" thickBot="1" x14ac:dyDescent="0.3">
      <c r="A25" s="93" t="s">
        <v>343</v>
      </c>
      <c r="B25" s="8">
        <v>2995</v>
      </c>
      <c r="C25" s="73">
        <v>0.05</v>
      </c>
      <c r="D25" s="8">
        <v>3335</v>
      </c>
      <c r="E25" s="8">
        <v>2365</v>
      </c>
      <c r="F25" s="8">
        <v>755</v>
      </c>
      <c r="G25" s="8">
        <v>220</v>
      </c>
      <c r="H25" s="73">
        <v>0.71</v>
      </c>
      <c r="I25" s="73">
        <v>0.23</v>
      </c>
      <c r="J25" s="73">
        <v>7.0000000000000007E-2</v>
      </c>
    </row>
    <row r="26" spans="1:10" ht="15.75" thickBot="1" x14ac:dyDescent="0.3">
      <c r="A26" s="93" t="s">
        <v>344</v>
      </c>
      <c r="B26" s="8">
        <v>16120</v>
      </c>
      <c r="C26" s="73">
        <v>0.05</v>
      </c>
      <c r="D26" s="8">
        <v>15735</v>
      </c>
      <c r="E26" s="8">
        <v>11245</v>
      </c>
      <c r="F26" s="8">
        <v>3885</v>
      </c>
      <c r="G26" s="8">
        <v>605</v>
      </c>
      <c r="H26" s="73">
        <v>0.71</v>
      </c>
      <c r="I26" s="73">
        <v>0.25</v>
      </c>
      <c r="J26" s="73">
        <v>0.04</v>
      </c>
    </row>
    <row r="27" spans="1:10" ht="15.75" thickBot="1" x14ac:dyDescent="0.3">
      <c r="A27" s="93" t="s">
        <v>345</v>
      </c>
      <c r="B27" s="8">
        <v>1415</v>
      </c>
      <c r="C27" s="73">
        <v>7.0000000000000007E-2</v>
      </c>
      <c r="D27" s="8">
        <v>1285</v>
      </c>
      <c r="E27" s="8">
        <v>795</v>
      </c>
      <c r="F27" s="8">
        <v>465</v>
      </c>
      <c r="G27" s="8">
        <v>25</v>
      </c>
      <c r="H27" s="73">
        <v>0.62</v>
      </c>
      <c r="I27" s="73">
        <v>0.36</v>
      </c>
      <c r="J27" s="73">
        <v>0.02</v>
      </c>
    </row>
    <row r="28" spans="1:10" ht="15.75" thickBot="1" x14ac:dyDescent="0.3">
      <c r="A28" s="93" t="s">
        <v>346</v>
      </c>
      <c r="B28" s="8">
        <v>7835</v>
      </c>
      <c r="C28" s="73">
        <v>0.06</v>
      </c>
      <c r="D28" s="8">
        <v>7350</v>
      </c>
      <c r="E28" s="8">
        <v>5145</v>
      </c>
      <c r="F28" s="8">
        <v>1895</v>
      </c>
      <c r="G28" s="8">
        <v>310</v>
      </c>
      <c r="H28" s="73">
        <v>0.7</v>
      </c>
      <c r="I28" s="73">
        <v>0.26</v>
      </c>
      <c r="J28" s="73">
        <v>0.04</v>
      </c>
    </row>
    <row r="29" spans="1:10" ht="15.75" thickBot="1" x14ac:dyDescent="0.3">
      <c r="A29" s="93" t="s">
        <v>347</v>
      </c>
      <c r="B29" s="8">
        <v>8895</v>
      </c>
      <c r="C29" s="73">
        <v>7.0000000000000007E-2</v>
      </c>
      <c r="D29" s="8">
        <v>8280</v>
      </c>
      <c r="E29" s="8">
        <v>5700</v>
      </c>
      <c r="F29" s="8">
        <v>2450</v>
      </c>
      <c r="G29" s="8">
        <v>135</v>
      </c>
      <c r="H29" s="73">
        <v>0.69</v>
      </c>
      <c r="I29" s="73">
        <v>0.3</v>
      </c>
      <c r="J29" s="73">
        <v>0.02</v>
      </c>
    </row>
    <row r="30" spans="1:10" ht="15.75" thickBot="1" x14ac:dyDescent="0.3">
      <c r="A30" s="93" t="s">
        <v>348</v>
      </c>
      <c r="B30" s="8">
        <v>4350</v>
      </c>
      <c r="C30" s="73">
        <v>0.08</v>
      </c>
      <c r="D30" s="8">
        <v>4935</v>
      </c>
      <c r="E30" s="8">
        <v>3335</v>
      </c>
      <c r="F30" s="8">
        <v>1310</v>
      </c>
      <c r="G30" s="8">
        <v>290</v>
      </c>
      <c r="H30" s="73">
        <v>0.68</v>
      </c>
      <c r="I30" s="73">
        <v>0.27</v>
      </c>
      <c r="J30" s="73">
        <v>0.06</v>
      </c>
    </row>
    <row r="31" spans="1:10" ht="15.75" thickBot="1" x14ac:dyDescent="0.3">
      <c r="A31" s="93" t="s">
        <v>349</v>
      </c>
      <c r="B31" s="8">
        <v>22495</v>
      </c>
      <c r="C31" s="73">
        <v>7.0000000000000007E-2</v>
      </c>
      <c r="D31" s="8">
        <v>21850</v>
      </c>
      <c r="E31" s="8">
        <v>14975</v>
      </c>
      <c r="F31" s="8">
        <v>6115</v>
      </c>
      <c r="G31" s="8">
        <v>760</v>
      </c>
      <c r="H31" s="73">
        <v>0.69</v>
      </c>
      <c r="I31" s="73">
        <v>0.28000000000000003</v>
      </c>
      <c r="J31" s="73">
        <v>0.03</v>
      </c>
    </row>
    <row r="32" spans="1:10" ht="30.75" thickBot="1" x14ac:dyDescent="0.3">
      <c r="A32" s="93" t="s">
        <v>350</v>
      </c>
      <c r="B32" s="8">
        <v>4465</v>
      </c>
      <c r="C32" s="73">
        <v>0.23</v>
      </c>
      <c r="D32" s="8">
        <v>4065</v>
      </c>
      <c r="E32" s="8">
        <v>3030</v>
      </c>
      <c r="F32" s="8">
        <v>950</v>
      </c>
      <c r="G32" s="8">
        <v>85</v>
      </c>
      <c r="H32" s="73">
        <v>0.75</v>
      </c>
      <c r="I32" s="73">
        <v>0.23</v>
      </c>
      <c r="J32" s="73">
        <v>0.02</v>
      </c>
    </row>
    <row r="33" spans="1:10" ht="30.75" thickBot="1" x14ac:dyDescent="0.3">
      <c r="A33" s="93" t="s">
        <v>351</v>
      </c>
      <c r="B33" s="8">
        <v>33555</v>
      </c>
      <c r="C33" s="73">
        <v>0.26</v>
      </c>
      <c r="D33" s="8">
        <v>31525</v>
      </c>
      <c r="E33" s="8">
        <v>21515</v>
      </c>
      <c r="F33" s="8">
        <v>8625</v>
      </c>
      <c r="G33" s="8">
        <v>1385</v>
      </c>
      <c r="H33" s="73">
        <v>0.68</v>
      </c>
      <c r="I33" s="73">
        <v>0.27</v>
      </c>
      <c r="J33" s="73">
        <v>0.04</v>
      </c>
    </row>
    <row r="34" spans="1:10" ht="30.75" thickBot="1" x14ac:dyDescent="0.3">
      <c r="A34" s="93" t="s">
        <v>352</v>
      </c>
      <c r="B34" s="8">
        <v>30335</v>
      </c>
      <c r="C34" s="73">
        <v>0.26</v>
      </c>
      <c r="D34" s="8">
        <v>28835</v>
      </c>
      <c r="E34" s="8">
        <v>19680</v>
      </c>
      <c r="F34" s="8">
        <v>8595</v>
      </c>
      <c r="G34" s="8">
        <v>560</v>
      </c>
      <c r="H34" s="73">
        <v>0.68</v>
      </c>
      <c r="I34" s="73">
        <v>0.3</v>
      </c>
      <c r="J34" s="73">
        <v>0.02</v>
      </c>
    </row>
    <row r="35" spans="1:10" ht="30.75" thickBot="1" x14ac:dyDescent="0.3">
      <c r="A35" s="93" t="s">
        <v>353</v>
      </c>
      <c r="B35" s="8">
        <v>15060</v>
      </c>
      <c r="C35" s="73">
        <v>0.26</v>
      </c>
      <c r="D35" s="8">
        <v>16550</v>
      </c>
      <c r="E35" s="8">
        <v>11500</v>
      </c>
      <c r="F35" s="8">
        <v>4010</v>
      </c>
      <c r="G35" s="8">
        <v>1040</v>
      </c>
      <c r="H35" s="73">
        <v>0.69</v>
      </c>
      <c r="I35" s="73">
        <v>0.24</v>
      </c>
      <c r="J35" s="73">
        <v>0.06</v>
      </c>
    </row>
    <row r="36" spans="1:10" ht="30.75" thickBot="1" x14ac:dyDescent="0.3">
      <c r="A36" s="93" t="s">
        <v>354</v>
      </c>
      <c r="B36" s="8">
        <v>83415</v>
      </c>
      <c r="C36" s="73">
        <v>0.26</v>
      </c>
      <c r="D36" s="8">
        <v>80970</v>
      </c>
      <c r="E36" s="8">
        <v>55725</v>
      </c>
      <c r="F36" s="8">
        <v>22180</v>
      </c>
      <c r="G36" s="8">
        <v>3070</v>
      </c>
      <c r="H36" s="73">
        <v>0.69</v>
      </c>
      <c r="I36" s="73">
        <v>0.27</v>
      </c>
      <c r="J36" s="73">
        <v>0.04</v>
      </c>
    </row>
    <row r="37" spans="1:10" ht="15.75" thickBot="1" x14ac:dyDescent="0.3">
      <c r="A37" s="93" t="s">
        <v>133</v>
      </c>
      <c r="B37" s="8">
        <v>875</v>
      </c>
      <c r="C37" s="73">
        <v>0.04</v>
      </c>
      <c r="D37" s="8">
        <v>810</v>
      </c>
      <c r="E37" s="8">
        <v>545</v>
      </c>
      <c r="F37" s="8">
        <v>245</v>
      </c>
      <c r="G37" s="8">
        <v>15</v>
      </c>
      <c r="H37" s="73">
        <v>0.68</v>
      </c>
      <c r="I37" s="73">
        <v>0.3</v>
      </c>
      <c r="J37" s="73">
        <v>0.02</v>
      </c>
    </row>
    <row r="38" spans="1:10" ht="15.75" thickBot="1" x14ac:dyDescent="0.3">
      <c r="A38" s="93" t="s">
        <v>134</v>
      </c>
      <c r="B38" s="8">
        <v>5100</v>
      </c>
      <c r="C38" s="73">
        <v>0.04</v>
      </c>
      <c r="D38" s="8">
        <v>4795</v>
      </c>
      <c r="E38" s="8">
        <v>3390</v>
      </c>
      <c r="F38" s="8">
        <v>1200</v>
      </c>
      <c r="G38" s="8">
        <v>210</v>
      </c>
      <c r="H38" s="73">
        <v>0.71</v>
      </c>
      <c r="I38" s="73">
        <v>0.25</v>
      </c>
      <c r="J38" s="73">
        <v>0.04</v>
      </c>
    </row>
    <row r="39" spans="1:10" ht="15.75" thickBot="1" x14ac:dyDescent="0.3">
      <c r="A39" s="93" t="s">
        <v>135</v>
      </c>
      <c r="B39" s="8">
        <v>5545</v>
      </c>
      <c r="C39" s="73">
        <v>0.05</v>
      </c>
      <c r="D39" s="8">
        <v>5145</v>
      </c>
      <c r="E39" s="8">
        <v>3600</v>
      </c>
      <c r="F39" s="8">
        <v>1450</v>
      </c>
      <c r="G39" s="8">
        <v>100</v>
      </c>
      <c r="H39" s="73">
        <v>0.7</v>
      </c>
      <c r="I39" s="73">
        <v>0.28000000000000003</v>
      </c>
      <c r="J39" s="73">
        <v>0.02</v>
      </c>
    </row>
    <row r="40" spans="1:10" ht="15.75" thickBot="1" x14ac:dyDescent="0.3">
      <c r="A40" s="93" t="s">
        <v>136</v>
      </c>
      <c r="B40" s="8">
        <v>2505</v>
      </c>
      <c r="C40" s="73">
        <v>0.04</v>
      </c>
      <c r="D40" s="8">
        <v>2915</v>
      </c>
      <c r="E40" s="8">
        <v>2000</v>
      </c>
      <c r="F40" s="8">
        <v>765</v>
      </c>
      <c r="G40" s="8">
        <v>155</v>
      </c>
      <c r="H40" s="73">
        <v>0.69</v>
      </c>
      <c r="I40" s="73">
        <v>0.26</v>
      </c>
      <c r="J40" s="73">
        <v>0.05</v>
      </c>
    </row>
    <row r="41" spans="1:10" ht="15.75" thickBot="1" x14ac:dyDescent="0.3">
      <c r="A41" s="93" t="s">
        <v>238</v>
      </c>
      <c r="B41" s="8">
        <v>14020</v>
      </c>
      <c r="C41" s="73">
        <v>0.04</v>
      </c>
      <c r="D41" s="8">
        <v>13665</v>
      </c>
      <c r="E41" s="8">
        <v>9530</v>
      </c>
      <c r="F41" s="8">
        <v>3655</v>
      </c>
      <c r="G41" s="8">
        <v>480</v>
      </c>
      <c r="H41" s="73">
        <v>0.7</v>
      </c>
      <c r="I41" s="73">
        <v>0.27</v>
      </c>
      <c r="J41" s="73">
        <v>0.04</v>
      </c>
    </row>
    <row r="42" spans="1:10" ht="15.75" thickBot="1" x14ac:dyDescent="0.3">
      <c r="A42" s="93" t="s">
        <v>355</v>
      </c>
      <c r="B42" s="8">
        <v>2560</v>
      </c>
      <c r="C42" s="73">
        <v>0.13</v>
      </c>
      <c r="D42" s="8">
        <v>2330</v>
      </c>
      <c r="E42" s="8">
        <v>1680</v>
      </c>
      <c r="F42" s="8">
        <v>610</v>
      </c>
      <c r="G42" s="8">
        <v>40</v>
      </c>
      <c r="H42" s="73">
        <v>0.72</v>
      </c>
      <c r="I42" s="73">
        <v>0.26</v>
      </c>
      <c r="J42" s="73">
        <v>0.02</v>
      </c>
    </row>
    <row r="43" spans="1:10" ht="15.75" thickBot="1" x14ac:dyDescent="0.3">
      <c r="A43" s="93" t="s">
        <v>356</v>
      </c>
      <c r="B43" s="8">
        <v>17125</v>
      </c>
      <c r="C43" s="73">
        <v>0.13</v>
      </c>
      <c r="D43" s="8">
        <v>16195</v>
      </c>
      <c r="E43" s="8">
        <v>11310</v>
      </c>
      <c r="F43" s="8">
        <v>4165</v>
      </c>
      <c r="G43" s="8">
        <v>720</v>
      </c>
      <c r="H43" s="73">
        <v>0.7</v>
      </c>
      <c r="I43" s="73">
        <v>0.26</v>
      </c>
      <c r="J43" s="73">
        <v>0.04</v>
      </c>
    </row>
    <row r="44" spans="1:10" ht="15.75" thickBot="1" x14ac:dyDescent="0.3">
      <c r="A44" s="93" t="s">
        <v>357</v>
      </c>
      <c r="B44" s="8">
        <v>16410</v>
      </c>
      <c r="C44" s="73">
        <v>0.14000000000000001</v>
      </c>
      <c r="D44" s="8">
        <v>15575</v>
      </c>
      <c r="E44" s="8">
        <v>10800</v>
      </c>
      <c r="F44" s="8">
        <v>4505</v>
      </c>
      <c r="G44" s="8">
        <v>270</v>
      </c>
      <c r="H44" s="73">
        <v>0.69</v>
      </c>
      <c r="I44" s="73">
        <v>0.28999999999999998</v>
      </c>
      <c r="J44" s="73">
        <v>0.02</v>
      </c>
    </row>
    <row r="45" spans="1:10" ht="15.75" thickBot="1" x14ac:dyDescent="0.3">
      <c r="A45" s="93" t="s">
        <v>358</v>
      </c>
      <c r="B45" s="8">
        <v>7805</v>
      </c>
      <c r="C45" s="73">
        <v>0.14000000000000001</v>
      </c>
      <c r="D45" s="8">
        <v>8785</v>
      </c>
      <c r="E45" s="8">
        <v>6260</v>
      </c>
      <c r="F45" s="8">
        <v>2020</v>
      </c>
      <c r="G45" s="8">
        <v>505</v>
      </c>
      <c r="H45" s="73">
        <v>0.71</v>
      </c>
      <c r="I45" s="73">
        <v>0.23</v>
      </c>
      <c r="J45" s="73">
        <v>0.06</v>
      </c>
    </row>
    <row r="46" spans="1:10" ht="15.75" thickBot="1" x14ac:dyDescent="0.3">
      <c r="A46" s="93" t="s">
        <v>359</v>
      </c>
      <c r="B46" s="8">
        <v>43900</v>
      </c>
      <c r="C46" s="73">
        <v>0.14000000000000001</v>
      </c>
      <c r="D46" s="8">
        <v>42890</v>
      </c>
      <c r="E46" s="8">
        <v>30050</v>
      </c>
      <c r="F46" s="8">
        <v>11300</v>
      </c>
      <c r="G46" s="8">
        <v>1535</v>
      </c>
      <c r="H46" s="73">
        <v>0.7</v>
      </c>
      <c r="I46" s="73">
        <v>0.26</v>
      </c>
      <c r="J46" s="73">
        <v>0.04</v>
      </c>
    </row>
    <row r="47" spans="1:10" ht="15.75" thickBot="1" x14ac:dyDescent="0.3">
      <c r="A47" s="93" t="s">
        <v>360</v>
      </c>
      <c r="B47" s="8">
        <v>2335</v>
      </c>
      <c r="C47" s="73">
        <v>0.12</v>
      </c>
      <c r="D47" s="8">
        <v>2125</v>
      </c>
      <c r="E47" s="8">
        <v>1500</v>
      </c>
      <c r="F47" s="8">
        <v>585</v>
      </c>
      <c r="G47" s="8">
        <v>40</v>
      </c>
      <c r="H47" s="73">
        <v>0.71</v>
      </c>
      <c r="I47" s="73">
        <v>0.28000000000000003</v>
      </c>
      <c r="J47" s="73">
        <v>0.02</v>
      </c>
    </row>
    <row r="48" spans="1:10" ht="15.75" thickBot="1" x14ac:dyDescent="0.3">
      <c r="A48" s="93" t="s">
        <v>361</v>
      </c>
      <c r="B48" s="8">
        <v>16225</v>
      </c>
      <c r="C48" s="73">
        <v>0.13</v>
      </c>
      <c r="D48" s="8">
        <v>15195</v>
      </c>
      <c r="E48" s="8">
        <v>10605</v>
      </c>
      <c r="F48" s="8">
        <v>3980</v>
      </c>
      <c r="G48" s="8">
        <v>610</v>
      </c>
      <c r="H48" s="73">
        <v>0.7</v>
      </c>
      <c r="I48" s="73">
        <v>0.26</v>
      </c>
      <c r="J48" s="73">
        <v>0.04</v>
      </c>
    </row>
    <row r="49" spans="1:10" ht="15.75" thickBot="1" x14ac:dyDescent="0.3">
      <c r="A49" s="93" t="s">
        <v>362</v>
      </c>
      <c r="B49" s="8">
        <v>16535</v>
      </c>
      <c r="C49" s="73">
        <v>0.14000000000000001</v>
      </c>
      <c r="D49" s="8">
        <v>15605</v>
      </c>
      <c r="E49" s="8">
        <v>10790</v>
      </c>
      <c r="F49" s="8">
        <v>4525</v>
      </c>
      <c r="G49" s="8">
        <v>285</v>
      </c>
      <c r="H49" s="73">
        <v>0.69</v>
      </c>
      <c r="I49" s="73">
        <v>0.28999999999999998</v>
      </c>
      <c r="J49" s="73">
        <v>0.02</v>
      </c>
    </row>
    <row r="50" spans="1:10" ht="15.75" thickBot="1" x14ac:dyDescent="0.3">
      <c r="A50" s="93" t="s">
        <v>363</v>
      </c>
      <c r="B50" s="8">
        <v>8245</v>
      </c>
      <c r="C50" s="73">
        <v>0.14000000000000001</v>
      </c>
      <c r="D50" s="8">
        <v>9240</v>
      </c>
      <c r="E50" s="8">
        <v>6350</v>
      </c>
      <c r="F50" s="8">
        <v>2205</v>
      </c>
      <c r="G50" s="8">
        <v>685</v>
      </c>
      <c r="H50" s="73">
        <v>0.69</v>
      </c>
      <c r="I50" s="73">
        <v>0.24</v>
      </c>
      <c r="J50" s="73">
        <v>7.0000000000000007E-2</v>
      </c>
    </row>
    <row r="51" spans="1:10" ht="15.75" thickBot="1" x14ac:dyDescent="0.3">
      <c r="A51" s="93" t="s">
        <v>364</v>
      </c>
      <c r="B51" s="8">
        <v>43335</v>
      </c>
      <c r="C51" s="73">
        <v>0.13</v>
      </c>
      <c r="D51" s="8">
        <v>42165</v>
      </c>
      <c r="E51" s="8">
        <v>29245</v>
      </c>
      <c r="F51" s="8">
        <v>11300</v>
      </c>
      <c r="G51" s="8">
        <v>1620</v>
      </c>
      <c r="H51" s="73">
        <v>0.69</v>
      </c>
      <c r="I51" s="73">
        <v>0.27</v>
      </c>
      <c r="J51" s="73">
        <v>0.04</v>
      </c>
    </row>
    <row r="52" spans="1:10" ht="15.75" thickBot="1" x14ac:dyDescent="0.3">
      <c r="A52" s="93" t="s">
        <v>153</v>
      </c>
      <c r="B52" s="8">
        <v>45</v>
      </c>
      <c r="C52" s="73">
        <v>0</v>
      </c>
      <c r="D52" s="8">
        <v>40</v>
      </c>
      <c r="E52" s="8" t="s">
        <v>449</v>
      </c>
      <c r="F52" s="8">
        <v>5</v>
      </c>
      <c r="G52" s="8">
        <v>30</v>
      </c>
      <c r="H52" s="73" t="s">
        <v>449</v>
      </c>
      <c r="I52" s="73" t="s">
        <v>449</v>
      </c>
      <c r="J52" s="73">
        <v>0.84</v>
      </c>
    </row>
    <row r="53" spans="1:10" ht="15.75" thickBot="1" x14ac:dyDescent="0.3">
      <c r="A53" s="93" t="s">
        <v>154</v>
      </c>
      <c r="B53" s="8">
        <v>160</v>
      </c>
      <c r="C53" s="73">
        <v>0</v>
      </c>
      <c r="D53" s="8">
        <v>145</v>
      </c>
      <c r="E53" s="8">
        <v>10</v>
      </c>
      <c r="F53" s="8">
        <v>5</v>
      </c>
      <c r="G53" s="8">
        <v>130</v>
      </c>
      <c r="H53" s="73">
        <v>0.06</v>
      </c>
      <c r="I53" s="73">
        <v>0.04</v>
      </c>
      <c r="J53" s="73">
        <v>0.9</v>
      </c>
    </row>
    <row r="54" spans="1:10" ht="15.75" thickBot="1" x14ac:dyDescent="0.3">
      <c r="A54" s="93" t="s">
        <v>155</v>
      </c>
      <c r="B54" s="8">
        <v>130</v>
      </c>
      <c r="C54" s="73">
        <v>0</v>
      </c>
      <c r="D54" s="8">
        <v>70</v>
      </c>
      <c r="E54" s="8">
        <v>15</v>
      </c>
      <c r="F54" s="8">
        <v>5</v>
      </c>
      <c r="G54" s="8">
        <v>50</v>
      </c>
      <c r="H54" s="73">
        <v>0.2</v>
      </c>
      <c r="I54" s="73">
        <v>0.06</v>
      </c>
      <c r="J54" s="73">
        <v>0.74</v>
      </c>
    </row>
    <row r="55" spans="1:10" ht="15.75" thickBot="1" x14ac:dyDescent="0.3">
      <c r="A55" s="93" t="s">
        <v>156</v>
      </c>
      <c r="B55" s="8">
        <v>215</v>
      </c>
      <c r="C55" s="73">
        <v>0</v>
      </c>
      <c r="D55" s="8">
        <v>60</v>
      </c>
      <c r="E55" s="8">
        <v>10</v>
      </c>
      <c r="F55" s="8" t="s">
        <v>449</v>
      </c>
      <c r="G55" s="8">
        <v>45</v>
      </c>
      <c r="H55" s="73" t="s">
        <v>449</v>
      </c>
      <c r="I55" s="73" t="s">
        <v>449</v>
      </c>
      <c r="J55" s="73">
        <v>0.78</v>
      </c>
    </row>
    <row r="56" spans="1:10" ht="15.75" thickBot="1" x14ac:dyDescent="0.3">
      <c r="A56" s="93" t="s">
        <v>243</v>
      </c>
      <c r="B56" s="8">
        <v>555</v>
      </c>
      <c r="C56" s="73">
        <v>0</v>
      </c>
      <c r="D56" s="8">
        <v>310</v>
      </c>
      <c r="E56" s="8">
        <v>35</v>
      </c>
      <c r="F56" s="8">
        <v>15</v>
      </c>
      <c r="G56" s="8">
        <v>260</v>
      </c>
      <c r="H56" s="73">
        <v>0.12</v>
      </c>
      <c r="I56" s="73">
        <v>0.05</v>
      </c>
      <c r="J56" s="73">
        <v>0.83</v>
      </c>
    </row>
    <row r="57" spans="1:10" ht="15.75" thickBot="1" x14ac:dyDescent="0.3">
      <c r="A57" s="93" t="s">
        <v>257</v>
      </c>
      <c r="B57" s="8">
        <v>1915</v>
      </c>
      <c r="C57" s="73">
        <v>0.1</v>
      </c>
      <c r="D57" s="8">
        <v>1875</v>
      </c>
      <c r="E57" s="8">
        <v>25</v>
      </c>
      <c r="F57" s="8">
        <v>1845</v>
      </c>
      <c r="G57" s="8">
        <v>5</v>
      </c>
      <c r="H57" s="73">
        <v>0.01</v>
      </c>
      <c r="I57" s="73">
        <v>0.98</v>
      </c>
      <c r="J57" s="73">
        <v>0</v>
      </c>
    </row>
    <row r="58" spans="1:10" ht="15.75" customHeight="1" thickBot="1" x14ac:dyDescent="0.3">
      <c r="A58" s="93" t="s">
        <v>218</v>
      </c>
      <c r="B58" s="8">
        <v>6345</v>
      </c>
      <c r="C58" s="73">
        <v>0.05</v>
      </c>
      <c r="D58" s="8">
        <v>6285</v>
      </c>
      <c r="E58" s="8">
        <v>145</v>
      </c>
      <c r="F58" s="8">
        <v>6025</v>
      </c>
      <c r="G58" s="8">
        <v>110</v>
      </c>
      <c r="H58" s="73">
        <v>0.02</v>
      </c>
      <c r="I58" s="73">
        <v>0.96</v>
      </c>
      <c r="J58" s="73">
        <v>0.02</v>
      </c>
    </row>
    <row r="59" spans="1:10" ht="15.75" customHeight="1" thickBot="1" x14ac:dyDescent="0.3">
      <c r="A59" s="93" t="s">
        <v>219</v>
      </c>
      <c r="B59" s="8">
        <v>2070</v>
      </c>
      <c r="C59" s="73">
        <v>0.02</v>
      </c>
      <c r="D59" s="8">
        <v>2105</v>
      </c>
      <c r="E59" s="8">
        <v>200</v>
      </c>
      <c r="F59" s="8">
        <v>1895</v>
      </c>
      <c r="G59" s="8">
        <v>10</v>
      </c>
      <c r="H59" s="73">
        <v>0.1</v>
      </c>
      <c r="I59" s="73">
        <v>0.9</v>
      </c>
      <c r="J59" s="73">
        <v>0</v>
      </c>
    </row>
    <row r="60" spans="1:10" ht="15.75" customHeight="1" thickBot="1" x14ac:dyDescent="0.3">
      <c r="A60" s="93" t="s">
        <v>220</v>
      </c>
      <c r="B60" s="8">
        <v>200</v>
      </c>
      <c r="C60" s="73">
        <v>0</v>
      </c>
      <c r="D60" s="8">
        <v>260</v>
      </c>
      <c r="E60" s="8">
        <v>95</v>
      </c>
      <c r="F60" s="8">
        <v>140</v>
      </c>
      <c r="G60" s="8">
        <v>25</v>
      </c>
      <c r="H60" s="73">
        <v>0.37</v>
      </c>
      <c r="I60" s="73">
        <v>0.54</v>
      </c>
      <c r="J60" s="73">
        <v>0.09</v>
      </c>
    </row>
    <row r="61" spans="1:10" ht="15.75" customHeight="1" thickBot="1" x14ac:dyDescent="0.3">
      <c r="A61" s="93" t="s">
        <v>221</v>
      </c>
      <c r="B61" s="8">
        <v>10530</v>
      </c>
      <c r="C61" s="73">
        <v>0.03</v>
      </c>
      <c r="D61" s="8">
        <v>10520</v>
      </c>
      <c r="E61" s="8">
        <v>470</v>
      </c>
      <c r="F61" s="8">
        <v>9900</v>
      </c>
      <c r="G61" s="8">
        <v>150</v>
      </c>
      <c r="H61" s="73">
        <v>0.04</v>
      </c>
      <c r="I61" s="73">
        <v>0.94</v>
      </c>
      <c r="J61" s="73">
        <v>0.01</v>
      </c>
    </row>
    <row r="62" spans="1:10" ht="15.75" thickBot="1" x14ac:dyDescent="0.3">
      <c r="A62" s="93" t="s">
        <v>365</v>
      </c>
      <c r="B62" s="8">
        <v>60</v>
      </c>
      <c r="C62" s="73">
        <v>0</v>
      </c>
      <c r="D62" s="8">
        <v>55</v>
      </c>
      <c r="E62" s="8">
        <v>30</v>
      </c>
      <c r="F62" s="8">
        <v>25</v>
      </c>
      <c r="G62" s="8">
        <v>0</v>
      </c>
      <c r="H62" s="73">
        <v>0.52</v>
      </c>
      <c r="I62" s="73">
        <v>0.48</v>
      </c>
      <c r="J62" s="73">
        <v>0</v>
      </c>
    </row>
    <row r="63" spans="1:10" ht="15.75" thickBot="1" x14ac:dyDescent="0.3">
      <c r="A63" s="93" t="s">
        <v>366</v>
      </c>
      <c r="B63" s="8">
        <v>220</v>
      </c>
      <c r="C63" s="73">
        <v>0</v>
      </c>
      <c r="D63" s="8">
        <v>205</v>
      </c>
      <c r="E63" s="8">
        <v>140</v>
      </c>
      <c r="F63" s="8">
        <v>55</v>
      </c>
      <c r="G63" s="8">
        <v>10</v>
      </c>
      <c r="H63" s="73">
        <v>0.69</v>
      </c>
      <c r="I63" s="73">
        <v>0.27</v>
      </c>
      <c r="J63" s="73">
        <v>0.04</v>
      </c>
    </row>
    <row r="64" spans="1:10" ht="15.75" thickBot="1" x14ac:dyDescent="0.3">
      <c r="A64" s="93" t="s">
        <v>367</v>
      </c>
      <c r="B64" s="8">
        <v>280</v>
      </c>
      <c r="C64" s="73">
        <v>0</v>
      </c>
      <c r="D64" s="8">
        <v>265</v>
      </c>
      <c r="E64" s="8">
        <v>175</v>
      </c>
      <c r="F64" s="8">
        <v>85</v>
      </c>
      <c r="G64" s="8">
        <v>5</v>
      </c>
      <c r="H64" s="73">
        <v>0.66</v>
      </c>
      <c r="I64" s="73">
        <v>0.33</v>
      </c>
      <c r="J64" s="73">
        <v>0.01</v>
      </c>
    </row>
    <row r="65" spans="1:10" ht="15.75" thickBot="1" x14ac:dyDescent="0.3">
      <c r="A65" s="93" t="s">
        <v>368</v>
      </c>
      <c r="B65" s="8">
        <v>100</v>
      </c>
      <c r="C65" s="73">
        <v>0</v>
      </c>
      <c r="D65" s="8">
        <v>120</v>
      </c>
      <c r="E65" s="8">
        <v>70</v>
      </c>
      <c r="F65" s="8">
        <v>40</v>
      </c>
      <c r="G65" s="8">
        <v>5</v>
      </c>
      <c r="H65" s="73">
        <v>0.6</v>
      </c>
      <c r="I65" s="73">
        <v>0.34</v>
      </c>
      <c r="J65" s="73">
        <v>0.06</v>
      </c>
    </row>
    <row r="66" spans="1:10" ht="15.75" thickBot="1" x14ac:dyDescent="0.3">
      <c r="A66" s="93" t="s">
        <v>369</v>
      </c>
      <c r="B66" s="8">
        <v>660</v>
      </c>
      <c r="C66" s="73">
        <v>0</v>
      </c>
      <c r="D66" s="8">
        <v>645</v>
      </c>
      <c r="E66" s="8">
        <v>415</v>
      </c>
      <c r="F66" s="8">
        <v>210</v>
      </c>
      <c r="G66" s="8">
        <v>20</v>
      </c>
      <c r="H66" s="73">
        <v>0.65</v>
      </c>
      <c r="I66" s="73">
        <v>0.32</v>
      </c>
      <c r="J66" s="73">
        <v>0.03</v>
      </c>
    </row>
    <row r="67" spans="1:10" ht="15.75" thickBot="1" x14ac:dyDescent="0.3">
      <c r="A67" s="93" t="s">
        <v>370</v>
      </c>
      <c r="B67" s="8">
        <v>35</v>
      </c>
      <c r="C67" s="73">
        <v>0</v>
      </c>
      <c r="D67" s="8">
        <v>30</v>
      </c>
      <c r="E67" s="8">
        <v>25</v>
      </c>
      <c r="F67" s="8">
        <v>5</v>
      </c>
      <c r="G67" s="8" t="s">
        <v>449</v>
      </c>
      <c r="H67" s="73">
        <v>0.74</v>
      </c>
      <c r="I67" s="73" t="s">
        <v>449</v>
      </c>
      <c r="J67" s="73" t="s">
        <v>449</v>
      </c>
    </row>
    <row r="68" spans="1:10" ht="15.75" thickBot="1" x14ac:dyDescent="0.3">
      <c r="A68" s="93" t="s">
        <v>371</v>
      </c>
      <c r="B68" s="8">
        <v>245</v>
      </c>
      <c r="C68" s="73">
        <v>0</v>
      </c>
      <c r="D68" s="8">
        <v>230</v>
      </c>
      <c r="E68" s="8">
        <v>150</v>
      </c>
      <c r="F68" s="8">
        <v>70</v>
      </c>
      <c r="G68" s="8">
        <v>10</v>
      </c>
      <c r="H68" s="73">
        <v>0.66</v>
      </c>
      <c r="I68" s="73">
        <v>0.3</v>
      </c>
      <c r="J68" s="73">
        <v>0.04</v>
      </c>
    </row>
    <row r="69" spans="1:10" ht="15.75" thickBot="1" x14ac:dyDescent="0.3">
      <c r="A69" s="93" t="s">
        <v>372</v>
      </c>
      <c r="B69" s="8">
        <v>235</v>
      </c>
      <c r="C69" s="73">
        <v>0</v>
      </c>
      <c r="D69" s="8">
        <v>225</v>
      </c>
      <c r="E69" s="8">
        <v>160</v>
      </c>
      <c r="F69" s="8">
        <v>65</v>
      </c>
      <c r="G69" s="8">
        <v>5</v>
      </c>
      <c r="H69" s="73">
        <v>0.7</v>
      </c>
      <c r="I69" s="73">
        <v>0.28000000000000003</v>
      </c>
      <c r="J69" s="73">
        <v>0.02</v>
      </c>
    </row>
    <row r="70" spans="1:10" ht="15.75" thickBot="1" x14ac:dyDescent="0.3">
      <c r="A70" s="93" t="s">
        <v>373</v>
      </c>
      <c r="B70" s="8">
        <v>115</v>
      </c>
      <c r="C70" s="73">
        <v>0</v>
      </c>
      <c r="D70" s="8">
        <v>125</v>
      </c>
      <c r="E70" s="8">
        <v>80</v>
      </c>
      <c r="F70" s="8">
        <v>40</v>
      </c>
      <c r="G70" s="8">
        <v>5</v>
      </c>
      <c r="H70" s="73">
        <v>0.63</v>
      </c>
      <c r="I70" s="73">
        <v>0.31</v>
      </c>
      <c r="J70" s="73">
        <v>0.06</v>
      </c>
    </row>
    <row r="71" spans="1:10" ht="15.75" thickBot="1" x14ac:dyDescent="0.3">
      <c r="A71" s="93" t="s">
        <v>374</v>
      </c>
      <c r="B71" s="8">
        <v>635</v>
      </c>
      <c r="C71" s="73">
        <v>0</v>
      </c>
      <c r="D71" s="8">
        <v>615</v>
      </c>
      <c r="E71" s="8">
        <v>410</v>
      </c>
      <c r="F71" s="8">
        <v>180</v>
      </c>
      <c r="G71" s="8">
        <v>20</v>
      </c>
      <c r="H71" s="73">
        <v>0.67</v>
      </c>
      <c r="I71" s="73">
        <v>0.28999999999999998</v>
      </c>
      <c r="J71" s="73">
        <v>0.03</v>
      </c>
    </row>
    <row r="72" spans="1:10" ht="15.75" thickBot="1" x14ac:dyDescent="0.3">
      <c r="A72" s="93" t="s">
        <v>375</v>
      </c>
      <c r="B72" s="8">
        <v>1355</v>
      </c>
      <c r="C72" s="73">
        <v>7.0000000000000007E-2</v>
      </c>
      <c r="D72" s="8">
        <v>1250</v>
      </c>
      <c r="E72" s="8">
        <v>915</v>
      </c>
      <c r="F72" s="8">
        <v>320</v>
      </c>
      <c r="G72" s="8">
        <v>15</v>
      </c>
      <c r="H72" s="73">
        <v>0.73</v>
      </c>
      <c r="I72" s="73">
        <v>0.25</v>
      </c>
      <c r="J72" s="73">
        <v>0.01</v>
      </c>
    </row>
    <row r="73" spans="1:10" ht="15.75" thickBot="1" x14ac:dyDescent="0.3">
      <c r="A73" s="93" t="s">
        <v>376</v>
      </c>
      <c r="B73" s="8">
        <v>9085</v>
      </c>
      <c r="C73" s="73">
        <v>7.0000000000000007E-2</v>
      </c>
      <c r="D73" s="8">
        <v>8565</v>
      </c>
      <c r="E73" s="8">
        <v>6130</v>
      </c>
      <c r="F73" s="8">
        <v>2080</v>
      </c>
      <c r="G73" s="8">
        <v>355</v>
      </c>
      <c r="H73" s="73">
        <v>0.72</v>
      </c>
      <c r="I73" s="73">
        <v>0.24</v>
      </c>
      <c r="J73" s="73">
        <v>0.04</v>
      </c>
    </row>
    <row r="74" spans="1:10" ht="15.75" thickBot="1" x14ac:dyDescent="0.3">
      <c r="A74" s="93" t="s">
        <v>377</v>
      </c>
      <c r="B74" s="8">
        <v>8505</v>
      </c>
      <c r="C74" s="73">
        <v>7.0000000000000007E-2</v>
      </c>
      <c r="D74" s="8">
        <v>7995</v>
      </c>
      <c r="E74" s="8">
        <v>5665</v>
      </c>
      <c r="F74" s="8">
        <v>2190</v>
      </c>
      <c r="G74" s="8">
        <v>140</v>
      </c>
      <c r="H74" s="73">
        <v>0.71</v>
      </c>
      <c r="I74" s="73">
        <v>0.27</v>
      </c>
      <c r="J74" s="73">
        <v>0.02</v>
      </c>
    </row>
    <row r="75" spans="1:10" ht="15.75" thickBot="1" x14ac:dyDescent="0.3">
      <c r="A75" s="93" t="s">
        <v>378</v>
      </c>
      <c r="B75" s="8">
        <v>4205</v>
      </c>
      <c r="C75" s="73">
        <v>7.0000000000000007E-2</v>
      </c>
      <c r="D75" s="8">
        <v>4720</v>
      </c>
      <c r="E75" s="8">
        <v>3360</v>
      </c>
      <c r="F75" s="8">
        <v>1050</v>
      </c>
      <c r="G75" s="8">
        <v>305</v>
      </c>
      <c r="H75" s="73">
        <v>0.71</v>
      </c>
      <c r="I75" s="73">
        <v>0.22</v>
      </c>
      <c r="J75" s="73">
        <v>0.06</v>
      </c>
    </row>
    <row r="76" spans="1:10" ht="15.75" thickBot="1" x14ac:dyDescent="0.3">
      <c r="A76" s="93" t="s">
        <v>379</v>
      </c>
      <c r="B76" s="8">
        <v>23150</v>
      </c>
      <c r="C76" s="73">
        <v>7.0000000000000007E-2</v>
      </c>
      <c r="D76" s="8">
        <v>22525</v>
      </c>
      <c r="E76" s="8">
        <v>16070</v>
      </c>
      <c r="F76" s="8">
        <v>5645</v>
      </c>
      <c r="G76" s="8">
        <v>815</v>
      </c>
      <c r="H76" s="73">
        <v>0.71</v>
      </c>
      <c r="I76" s="73">
        <v>0.25</v>
      </c>
      <c r="J76" s="73">
        <v>0.04</v>
      </c>
    </row>
    <row r="77" spans="1:10" ht="15.75" thickBot="1" x14ac:dyDescent="0.3">
      <c r="A77" s="93" t="s">
        <v>197</v>
      </c>
      <c r="B77" s="8">
        <v>19480</v>
      </c>
      <c r="C77" s="73">
        <v>1</v>
      </c>
      <c r="D77" s="8">
        <v>17935</v>
      </c>
      <c r="E77" s="8">
        <v>11505</v>
      </c>
      <c r="F77" s="8">
        <v>6080</v>
      </c>
      <c r="G77" s="8">
        <v>350</v>
      </c>
      <c r="H77" s="73">
        <v>0.64</v>
      </c>
      <c r="I77" s="73">
        <v>0.34</v>
      </c>
      <c r="J77" s="73">
        <v>0.02</v>
      </c>
    </row>
    <row r="78" spans="1:10" ht="15.75" thickBot="1" x14ac:dyDescent="0.3">
      <c r="A78" s="93" t="s">
        <v>198</v>
      </c>
      <c r="B78" s="8">
        <v>128070</v>
      </c>
      <c r="C78" s="73">
        <v>1</v>
      </c>
      <c r="D78" s="8">
        <v>120680</v>
      </c>
      <c r="E78" s="8">
        <v>80100</v>
      </c>
      <c r="F78" s="8">
        <v>35375</v>
      </c>
      <c r="G78" s="8">
        <v>5210</v>
      </c>
      <c r="H78" s="73">
        <v>0.66</v>
      </c>
      <c r="I78" s="73">
        <v>0.28999999999999998</v>
      </c>
      <c r="J78" s="73">
        <v>0.04</v>
      </c>
    </row>
    <row r="79" spans="1:10" ht="15.75" thickBot="1" x14ac:dyDescent="0.3">
      <c r="A79" s="93" t="s">
        <v>199</v>
      </c>
      <c r="B79" s="8">
        <v>118600</v>
      </c>
      <c r="C79" s="73">
        <v>1</v>
      </c>
      <c r="D79" s="8">
        <v>112435</v>
      </c>
      <c r="E79" s="8">
        <v>76960</v>
      </c>
      <c r="F79" s="8">
        <v>33480</v>
      </c>
      <c r="G79" s="8">
        <v>1995</v>
      </c>
      <c r="H79" s="73">
        <v>0.68</v>
      </c>
      <c r="I79" s="73">
        <v>0.3</v>
      </c>
      <c r="J79" s="73">
        <v>0.02</v>
      </c>
    </row>
    <row r="80" spans="1:10" ht="15.75" thickBot="1" x14ac:dyDescent="0.3">
      <c r="A80" s="93" t="s">
        <v>200</v>
      </c>
      <c r="B80" s="8">
        <v>57760</v>
      </c>
      <c r="C80" s="73">
        <v>1</v>
      </c>
      <c r="D80" s="8">
        <v>64295</v>
      </c>
      <c r="E80" s="8">
        <v>45025</v>
      </c>
      <c r="F80" s="8">
        <v>15160</v>
      </c>
      <c r="G80" s="8">
        <v>4105</v>
      </c>
      <c r="H80" s="73">
        <v>0.7</v>
      </c>
      <c r="I80" s="73">
        <v>0.24</v>
      </c>
      <c r="J80" s="73">
        <v>0.06</v>
      </c>
    </row>
    <row r="81" spans="1:10" ht="15.75" thickBot="1" x14ac:dyDescent="0.3">
      <c r="A81" s="93" t="s">
        <v>254</v>
      </c>
      <c r="B81" s="8">
        <v>323915</v>
      </c>
      <c r="C81" s="73">
        <v>1</v>
      </c>
      <c r="D81" s="8">
        <v>315340</v>
      </c>
      <c r="E81" s="8">
        <v>213585</v>
      </c>
      <c r="F81" s="8">
        <v>90095</v>
      </c>
      <c r="G81" s="8">
        <v>11660</v>
      </c>
      <c r="H81" s="73">
        <v>0.68</v>
      </c>
      <c r="I81" s="73">
        <v>0.28999999999999998</v>
      </c>
      <c r="J81" s="73">
        <v>0.04</v>
      </c>
    </row>
    <row r="82" spans="1:10" ht="30.75" thickBot="1" x14ac:dyDescent="0.3">
      <c r="A82" s="93" t="s">
        <v>214</v>
      </c>
      <c r="B82" s="8">
        <v>35</v>
      </c>
      <c r="C82" s="73">
        <v>0</v>
      </c>
      <c r="D82" s="8">
        <v>30</v>
      </c>
      <c r="E82" s="8">
        <v>20</v>
      </c>
      <c r="F82" s="8">
        <v>5</v>
      </c>
      <c r="G82" s="8" t="s">
        <v>449</v>
      </c>
      <c r="H82" s="73">
        <v>0.7</v>
      </c>
      <c r="I82" s="73" t="s">
        <v>449</v>
      </c>
      <c r="J82" s="73" t="s">
        <v>449</v>
      </c>
    </row>
    <row r="83" spans="1:10" ht="30.75" thickBot="1" x14ac:dyDescent="0.3">
      <c r="A83" s="93" t="s">
        <v>215</v>
      </c>
      <c r="B83" s="8">
        <v>220</v>
      </c>
      <c r="C83" s="73">
        <v>0</v>
      </c>
      <c r="D83" s="8">
        <v>205</v>
      </c>
      <c r="E83" s="8">
        <v>155</v>
      </c>
      <c r="F83" s="8">
        <v>35</v>
      </c>
      <c r="G83" s="8">
        <v>15</v>
      </c>
      <c r="H83" s="73">
        <v>0.76</v>
      </c>
      <c r="I83" s="73">
        <v>0.18</v>
      </c>
      <c r="J83" s="73">
        <v>0.06</v>
      </c>
    </row>
    <row r="84" spans="1:10" ht="30.75" thickBot="1" x14ac:dyDescent="0.3">
      <c r="A84" s="93" t="s">
        <v>216</v>
      </c>
      <c r="B84" s="8">
        <v>225</v>
      </c>
      <c r="C84" s="73">
        <v>0</v>
      </c>
      <c r="D84" s="8">
        <v>205</v>
      </c>
      <c r="E84" s="8">
        <v>145</v>
      </c>
      <c r="F84" s="8">
        <v>60</v>
      </c>
      <c r="G84" s="8">
        <v>5</v>
      </c>
      <c r="H84" s="73">
        <v>0.7</v>
      </c>
      <c r="I84" s="73">
        <v>0.28000000000000003</v>
      </c>
      <c r="J84" s="73">
        <v>0.02</v>
      </c>
    </row>
    <row r="85" spans="1:10" ht="30.75" thickBot="1" x14ac:dyDescent="0.3">
      <c r="A85" s="93" t="s">
        <v>217</v>
      </c>
      <c r="B85" s="8">
        <v>170</v>
      </c>
      <c r="C85" s="73">
        <v>0</v>
      </c>
      <c r="D85" s="8">
        <v>180</v>
      </c>
      <c r="E85" s="8">
        <v>125</v>
      </c>
      <c r="F85" s="8">
        <v>40</v>
      </c>
      <c r="G85" s="8">
        <v>15</v>
      </c>
      <c r="H85" s="73">
        <v>0.69</v>
      </c>
      <c r="I85" s="73">
        <v>0.23</v>
      </c>
      <c r="J85" s="73">
        <v>0.08</v>
      </c>
    </row>
    <row r="86" spans="1:10" ht="30.75" thickBot="1" x14ac:dyDescent="0.3">
      <c r="A86" s="93" t="s">
        <v>258</v>
      </c>
      <c r="B86" s="8">
        <v>650</v>
      </c>
      <c r="C86" s="73">
        <v>0</v>
      </c>
      <c r="D86" s="8">
        <v>625</v>
      </c>
      <c r="E86" s="8">
        <v>445</v>
      </c>
      <c r="F86" s="8">
        <v>145</v>
      </c>
      <c r="G86" s="8">
        <v>35</v>
      </c>
      <c r="H86" s="73">
        <v>0.71</v>
      </c>
      <c r="I86" s="73">
        <v>0.23</v>
      </c>
      <c r="J86" s="73">
        <v>0.06</v>
      </c>
    </row>
    <row r="87" spans="1:10" ht="15.75" thickBot="1" x14ac:dyDescent="0.3">
      <c r="A87" s="93" t="s">
        <v>385</v>
      </c>
      <c r="B87" s="8">
        <v>55</v>
      </c>
      <c r="C87" s="73">
        <v>0</v>
      </c>
      <c r="D87" s="8">
        <v>55</v>
      </c>
      <c r="E87" s="8">
        <v>30</v>
      </c>
      <c r="F87" s="8">
        <v>20</v>
      </c>
      <c r="G87" s="8">
        <v>0</v>
      </c>
      <c r="H87" s="73">
        <v>0.6</v>
      </c>
      <c r="I87" s="73">
        <v>0.4</v>
      </c>
      <c r="J87" s="73">
        <v>0</v>
      </c>
    </row>
    <row r="88" spans="1:10" ht="15.75" thickBot="1" x14ac:dyDescent="0.3">
      <c r="A88" s="93" t="s">
        <v>386</v>
      </c>
      <c r="B88" s="8">
        <v>345</v>
      </c>
      <c r="C88" s="73">
        <v>0</v>
      </c>
      <c r="D88" s="8">
        <v>330</v>
      </c>
      <c r="E88" s="8">
        <v>220</v>
      </c>
      <c r="F88" s="8">
        <v>100</v>
      </c>
      <c r="G88" s="8">
        <v>10</v>
      </c>
      <c r="H88" s="73">
        <v>0.67</v>
      </c>
      <c r="I88" s="73">
        <v>0.3</v>
      </c>
      <c r="J88" s="73">
        <v>0.02</v>
      </c>
    </row>
    <row r="89" spans="1:10" ht="15.75" thickBot="1" x14ac:dyDescent="0.3">
      <c r="A89" s="93" t="s">
        <v>387</v>
      </c>
      <c r="B89" s="8">
        <v>370</v>
      </c>
      <c r="C89" s="73">
        <v>0</v>
      </c>
      <c r="D89" s="8">
        <v>350</v>
      </c>
      <c r="E89" s="8">
        <v>230</v>
      </c>
      <c r="F89" s="8">
        <v>115</v>
      </c>
      <c r="G89" s="8">
        <v>10</v>
      </c>
      <c r="H89" s="73">
        <v>0.65</v>
      </c>
      <c r="I89" s="73">
        <v>0.32</v>
      </c>
      <c r="J89" s="73">
        <v>0.02</v>
      </c>
    </row>
    <row r="90" spans="1:10" ht="15.75" thickBot="1" x14ac:dyDescent="0.3">
      <c r="A90" s="93" t="s">
        <v>388</v>
      </c>
      <c r="B90" s="8">
        <v>150</v>
      </c>
      <c r="C90" s="73">
        <v>0</v>
      </c>
      <c r="D90" s="8">
        <v>170</v>
      </c>
      <c r="E90" s="8">
        <v>115</v>
      </c>
      <c r="F90" s="8">
        <v>45</v>
      </c>
      <c r="G90" s="8">
        <v>10</v>
      </c>
      <c r="H90" s="73">
        <v>0.68</v>
      </c>
      <c r="I90" s="73">
        <v>0.27</v>
      </c>
      <c r="J90" s="73">
        <v>0.05</v>
      </c>
    </row>
    <row r="91" spans="1:10" x14ac:dyDescent="0.25">
      <c r="A91" s="94" t="s">
        <v>389</v>
      </c>
      <c r="B91" s="8">
        <v>925</v>
      </c>
      <c r="C91" s="73">
        <v>0</v>
      </c>
      <c r="D91" s="8">
        <v>900</v>
      </c>
      <c r="E91" s="8">
        <v>595</v>
      </c>
      <c r="F91" s="8">
        <v>280</v>
      </c>
      <c r="G91" s="8">
        <v>25</v>
      </c>
      <c r="H91" s="73">
        <v>0.66</v>
      </c>
      <c r="I91" s="73">
        <v>0.31</v>
      </c>
      <c r="J91" s="73">
        <v>0.03</v>
      </c>
    </row>
  </sheetData>
  <sheetProtection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91"/>
  <sheetViews>
    <sheetView zoomScale="75" zoomScaleNormal="75" workbookViewId="0"/>
  </sheetViews>
  <sheetFormatPr defaultRowHeight="15" x14ac:dyDescent="0.25"/>
  <cols>
    <col min="1" max="1" width="33.85546875" bestFit="1" customWidth="1"/>
    <col min="2" max="15" width="18.85546875" customWidth="1"/>
  </cols>
  <sheetData>
    <row r="1" spans="1:15" ht="94.5" customHeight="1" x14ac:dyDescent="0.25">
      <c r="A1" s="91" t="s">
        <v>61</v>
      </c>
      <c r="B1" s="71" t="s">
        <v>62</v>
      </c>
      <c r="C1" s="71" t="s">
        <v>314</v>
      </c>
      <c r="D1" s="71" t="s">
        <v>726</v>
      </c>
      <c r="E1" s="71" t="s">
        <v>737</v>
      </c>
      <c r="F1" s="71" t="s">
        <v>728</v>
      </c>
      <c r="G1" s="71" t="s">
        <v>729</v>
      </c>
      <c r="H1" s="71" t="s">
        <v>730</v>
      </c>
      <c r="I1" s="71" t="s">
        <v>731</v>
      </c>
      <c r="J1" s="92" t="s">
        <v>732</v>
      </c>
      <c r="K1" s="92" t="s">
        <v>733</v>
      </c>
      <c r="L1" s="92" t="s">
        <v>738</v>
      </c>
      <c r="M1" s="72" t="s">
        <v>735</v>
      </c>
      <c r="O1" s="72" t="s">
        <v>213</v>
      </c>
    </row>
    <row r="2" spans="1:15" ht="15.75" thickBot="1" x14ac:dyDescent="0.3">
      <c r="A2" s="93" t="s">
        <v>325</v>
      </c>
      <c r="B2" s="8">
        <v>1390</v>
      </c>
      <c r="C2" s="73">
        <v>7.0000000000000007E-2</v>
      </c>
      <c r="D2" s="8">
        <v>1335</v>
      </c>
      <c r="E2" s="8">
        <v>0</v>
      </c>
      <c r="F2" s="8">
        <v>0</v>
      </c>
      <c r="G2" s="8">
        <v>0</v>
      </c>
      <c r="H2" s="8">
        <v>55</v>
      </c>
      <c r="I2" s="73">
        <v>0.96</v>
      </c>
      <c r="J2" s="73">
        <v>0</v>
      </c>
      <c r="K2" s="73">
        <v>0</v>
      </c>
      <c r="L2" s="73">
        <v>0</v>
      </c>
      <c r="M2" s="73">
        <v>0.04</v>
      </c>
      <c r="O2" s="22" t="s">
        <v>209</v>
      </c>
    </row>
    <row r="3" spans="1:15" ht="15.75" thickBot="1" x14ac:dyDescent="0.3">
      <c r="A3" s="93" t="s">
        <v>326</v>
      </c>
      <c r="B3" s="8">
        <v>10705</v>
      </c>
      <c r="C3" s="73">
        <v>0.08</v>
      </c>
      <c r="D3" s="8">
        <v>2725</v>
      </c>
      <c r="E3" s="8">
        <v>4235</v>
      </c>
      <c r="F3" s="8">
        <v>2260</v>
      </c>
      <c r="G3" s="8">
        <v>4440</v>
      </c>
      <c r="H3" s="8">
        <v>1410</v>
      </c>
      <c r="I3" s="73">
        <v>0.25</v>
      </c>
      <c r="J3" s="73">
        <v>0.4</v>
      </c>
      <c r="K3" s="73">
        <v>0.21</v>
      </c>
      <c r="L3" s="73">
        <v>0.41</v>
      </c>
      <c r="M3" s="73">
        <v>0.13</v>
      </c>
      <c r="O3" s="22" t="s">
        <v>210</v>
      </c>
    </row>
    <row r="4" spans="1:15" ht="15.75" thickBot="1" x14ac:dyDescent="0.3">
      <c r="A4" s="93" t="s">
        <v>327</v>
      </c>
      <c r="B4" s="8">
        <v>9530</v>
      </c>
      <c r="C4" s="73">
        <v>0.08</v>
      </c>
      <c r="D4" s="8">
        <v>2715</v>
      </c>
      <c r="E4" s="8">
        <v>3075</v>
      </c>
      <c r="F4" s="8">
        <v>2675</v>
      </c>
      <c r="G4" s="8">
        <v>6175</v>
      </c>
      <c r="H4" s="8">
        <v>1180</v>
      </c>
      <c r="I4" s="73">
        <v>0.28000000000000003</v>
      </c>
      <c r="J4" s="73">
        <v>0.32</v>
      </c>
      <c r="K4" s="73">
        <v>0.28000000000000003</v>
      </c>
      <c r="L4" s="73">
        <v>0.65</v>
      </c>
      <c r="M4" s="73">
        <v>0.12</v>
      </c>
      <c r="O4" s="22" t="s">
        <v>211</v>
      </c>
    </row>
    <row r="5" spans="1:15" ht="15.75" thickBot="1" x14ac:dyDescent="0.3">
      <c r="A5" s="93" t="s">
        <v>328</v>
      </c>
      <c r="B5" s="8">
        <v>4720</v>
      </c>
      <c r="C5" s="73">
        <v>0.08</v>
      </c>
      <c r="D5" s="8">
        <v>1740</v>
      </c>
      <c r="E5" s="8">
        <v>1395</v>
      </c>
      <c r="F5" s="8">
        <v>1675</v>
      </c>
      <c r="G5" s="8">
        <v>3165</v>
      </c>
      <c r="H5" s="8">
        <v>290</v>
      </c>
      <c r="I5" s="73">
        <v>0.37</v>
      </c>
      <c r="J5" s="73">
        <v>0.3</v>
      </c>
      <c r="K5" s="73">
        <v>0.36</v>
      </c>
      <c r="L5" s="73">
        <v>0.67</v>
      </c>
      <c r="M5" s="73">
        <v>0.06</v>
      </c>
      <c r="O5" s="22" t="s">
        <v>212</v>
      </c>
    </row>
    <row r="6" spans="1:15" ht="15.75" thickBot="1" x14ac:dyDescent="0.3">
      <c r="A6" s="93" t="s">
        <v>329</v>
      </c>
      <c r="B6" s="8">
        <v>26345</v>
      </c>
      <c r="C6" s="73">
        <v>0.08</v>
      </c>
      <c r="D6" s="8">
        <v>8510</v>
      </c>
      <c r="E6" s="8">
        <v>8705</v>
      </c>
      <c r="F6" s="8">
        <v>6615</v>
      </c>
      <c r="G6" s="8">
        <v>13780</v>
      </c>
      <c r="H6" s="8">
        <v>2935</v>
      </c>
      <c r="I6" s="73">
        <v>0.32</v>
      </c>
      <c r="J6" s="73">
        <v>0.33</v>
      </c>
      <c r="K6" s="73">
        <v>0.25</v>
      </c>
      <c r="L6" s="73">
        <v>0.52</v>
      </c>
      <c r="M6" s="73">
        <v>0.11</v>
      </c>
      <c r="O6" s="22" t="s">
        <v>222</v>
      </c>
    </row>
    <row r="7" spans="1:15" ht="15.75" thickBot="1" x14ac:dyDescent="0.3">
      <c r="A7" s="93" t="s">
        <v>330</v>
      </c>
      <c r="B7" s="8">
        <v>295</v>
      </c>
      <c r="C7" s="73">
        <v>0.02</v>
      </c>
      <c r="D7" s="8">
        <v>280</v>
      </c>
      <c r="E7" s="8">
        <v>0</v>
      </c>
      <c r="F7" s="8">
        <v>0</v>
      </c>
      <c r="G7" s="8">
        <v>0</v>
      </c>
      <c r="H7" s="8">
        <v>15</v>
      </c>
      <c r="I7" s="73">
        <v>0.95</v>
      </c>
      <c r="J7" s="73">
        <v>0</v>
      </c>
      <c r="K7" s="73">
        <v>0</v>
      </c>
      <c r="L7" s="73">
        <v>0</v>
      </c>
      <c r="M7" s="73">
        <v>0.05</v>
      </c>
    </row>
    <row r="8" spans="1:15" ht="15.75" thickBot="1" x14ac:dyDescent="0.3">
      <c r="A8" s="93" t="s">
        <v>331</v>
      </c>
      <c r="B8" s="8">
        <v>1850</v>
      </c>
      <c r="C8" s="73">
        <v>0.01</v>
      </c>
      <c r="D8" s="8">
        <v>510</v>
      </c>
      <c r="E8" s="8">
        <v>740</v>
      </c>
      <c r="F8" s="8">
        <v>420</v>
      </c>
      <c r="G8" s="8">
        <v>790</v>
      </c>
      <c r="H8" s="8">
        <v>185</v>
      </c>
      <c r="I8" s="73">
        <v>0.28000000000000003</v>
      </c>
      <c r="J8" s="73">
        <v>0.4</v>
      </c>
      <c r="K8" s="73">
        <v>0.23</v>
      </c>
      <c r="L8" s="73">
        <v>0.43</v>
      </c>
      <c r="M8" s="73">
        <v>0.1</v>
      </c>
    </row>
    <row r="9" spans="1:15" ht="15.75" thickBot="1" x14ac:dyDescent="0.3">
      <c r="A9" s="93" t="s">
        <v>332</v>
      </c>
      <c r="B9" s="8">
        <v>2020</v>
      </c>
      <c r="C9" s="73">
        <v>0.02</v>
      </c>
      <c r="D9" s="8">
        <v>530</v>
      </c>
      <c r="E9" s="8">
        <v>670</v>
      </c>
      <c r="F9" s="8">
        <v>645</v>
      </c>
      <c r="G9" s="8">
        <v>1235</v>
      </c>
      <c r="H9" s="8">
        <v>235</v>
      </c>
      <c r="I9" s="73">
        <v>0.26</v>
      </c>
      <c r="J9" s="73">
        <v>0.33</v>
      </c>
      <c r="K9" s="73">
        <v>0.32</v>
      </c>
      <c r="L9" s="73">
        <v>0.61</v>
      </c>
      <c r="M9" s="73">
        <v>0.12</v>
      </c>
    </row>
    <row r="10" spans="1:15" ht="15.75" thickBot="1" x14ac:dyDescent="0.3">
      <c r="A10" s="93" t="s">
        <v>333</v>
      </c>
      <c r="B10" s="8">
        <v>1010</v>
      </c>
      <c r="C10" s="73">
        <v>0.02</v>
      </c>
      <c r="D10" s="8">
        <v>360</v>
      </c>
      <c r="E10" s="8">
        <v>305</v>
      </c>
      <c r="F10" s="8">
        <v>395</v>
      </c>
      <c r="G10" s="8">
        <v>660</v>
      </c>
      <c r="H10" s="8">
        <v>70</v>
      </c>
      <c r="I10" s="73">
        <v>0.36</v>
      </c>
      <c r="J10" s="73">
        <v>0.3</v>
      </c>
      <c r="K10" s="73">
        <v>0.39</v>
      </c>
      <c r="L10" s="73">
        <v>0.65</v>
      </c>
      <c r="M10" s="73">
        <v>7.0000000000000007E-2</v>
      </c>
    </row>
    <row r="11" spans="1:15" ht="15.75" thickBot="1" x14ac:dyDescent="0.3">
      <c r="A11" s="93" t="s">
        <v>334</v>
      </c>
      <c r="B11" s="8">
        <v>5175</v>
      </c>
      <c r="C11" s="73">
        <v>0.02</v>
      </c>
      <c r="D11" s="8">
        <v>1680</v>
      </c>
      <c r="E11" s="8">
        <v>1715</v>
      </c>
      <c r="F11" s="8">
        <v>1460</v>
      </c>
      <c r="G11" s="8">
        <v>2680</v>
      </c>
      <c r="H11" s="8">
        <v>505</v>
      </c>
      <c r="I11" s="73">
        <v>0.32</v>
      </c>
      <c r="J11" s="73">
        <v>0.33</v>
      </c>
      <c r="K11" s="73">
        <v>0.28000000000000003</v>
      </c>
      <c r="L11" s="73">
        <v>0.52</v>
      </c>
      <c r="M11" s="73">
        <v>0.1</v>
      </c>
    </row>
    <row r="12" spans="1:15" ht="15.75" thickBot="1" x14ac:dyDescent="0.3">
      <c r="A12" s="93" t="s">
        <v>335</v>
      </c>
      <c r="B12" s="8">
        <v>425</v>
      </c>
      <c r="C12" s="73">
        <v>0.02</v>
      </c>
      <c r="D12" s="8">
        <v>410</v>
      </c>
      <c r="E12" s="8">
        <v>0</v>
      </c>
      <c r="F12" s="8">
        <v>0</v>
      </c>
      <c r="G12" s="8">
        <v>0</v>
      </c>
      <c r="H12" s="8">
        <v>15</v>
      </c>
      <c r="I12" s="73">
        <v>0.97</v>
      </c>
      <c r="J12" s="73">
        <v>0</v>
      </c>
      <c r="K12" s="73">
        <v>0</v>
      </c>
      <c r="L12" s="73">
        <v>0</v>
      </c>
      <c r="M12" s="73">
        <v>0.03</v>
      </c>
    </row>
    <row r="13" spans="1:15" ht="15.75" thickBot="1" x14ac:dyDescent="0.3">
      <c r="A13" s="93" t="s">
        <v>336</v>
      </c>
      <c r="B13" s="8">
        <v>3295</v>
      </c>
      <c r="C13" s="73">
        <v>0.03</v>
      </c>
      <c r="D13" s="8">
        <v>860</v>
      </c>
      <c r="E13" s="8">
        <v>1395</v>
      </c>
      <c r="F13" s="8">
        <v>725</v>
      </c>
      <c r="G13" s="8">
        <v>1435</v>
      </c>
      <c r="H13" s="8">
        <v>375</v>
      </c>
      <c r="I13" s="73">
        <v>0.26</v>
      </c>
      <c r="J13" s="73">
        <v>0.42</v>
      </c>
      <c r="K13" s="73">
        <v>0.22</v>
      </c>
      <c r="L13" s="73">
        <v>0.44</v>
      </c>
      <c r="M13" s="73">
        <v>0.11</v>
      </c>
    </row>
    <row r="14" spans="1:15" ht="15.75" thickBot="1" x14ac:dyDescent="0.3">
      <c r="A14" s="93" t="s">
        <v>337</v>
      </c>
      <c r="B14" s="8">
        <v>3065</v>
      </c>
      <c r="C14" s="73">
        <v>0.03</v>
      </c>
      <c r="D14" s="8">
        <v>835</v>
      </c>
      <c r="E14" s="8">
        <v>1095</v>
      </c>
      <c r="F14" s="8">
        <v>915</v>
      </c>
      <c r="G14" s="8">
        <v>2000</v>
      </c>
      <c r="H14" s="8">
        <v>320</v>
      </c>
      <c r="I14" s="73">
        <v>0.27</v>
      </c>
      <c r="J14" s="73">
        <v>0.36</v>
      </c>
      <c r="K14" s="73">
        <v>0.3</v>
      </c>
      <c r="L14" s="73">
        <v>0.65</v>
      </c>
      <c r="M14" s="73">
        <v>0.1</v>
      </c>
    </row>
    <row r="15" spans="1:15" ht="15.75" thickBot="1" x14ac:dyDescent="0.3">
      <c r="A15" s="93" t="s">
        <v>338</v>
      </c>
      <c r="B15" s="8">
        <v>1455</v>
      </c>
      <c r="C15" s="73">
        <v>0.03</v>
      </c>
      <c r="D15" s="8">
        <v>535</v>
      </c>
      <c r="E15" s="8">
        <v>450</v>
      </c>
      <c r="F15" s="8">
        <v>535</v>
      </c>
      <c r="G15" s="8">
        <v>970</v>
      </c>
      <c r="H15" s="8">
        <v>100</v>
      </c>
      <c r="I15" s="73">
        <v>0.37</v>
      </c>
      <c r="J15" s="73">
        <v>0.31</v>
      </c>
      <c r="K15" s="73">
        <v>0.37</v>
      </c>
      <c r="L15" s="73">
        <v>0.67</v>
      </c>
      <c r="M15" s="73">
        <v>7.0000000000000007E-2</v>
      </c>
    </row>
    <row r="16" spans="1:15" ht="15.75" thickBot="1" x14ac:dyDescent="0.3">
      <c r="A16" s="93" t="s">
        <v>339</v>
      </c>
      <c r="B16" s="8">
        <v>8240</v>
      </c>
      <c r="C16" s="73">
        <v>0.03</v>
      </c>
      <c r="D16" s="8">
        <v>2640</v>
      </c>
      <c r="E16" s="8">
        <v>2940</v>
      </c>
      <c r="F16" s="8">
        <v>2175</v>
      </c>
      <c r="G16" s="8">
        <v>4405</v>
      </c>
      <c r="H16" s="8">
        <v>815</v>
      </c>
      <c r="I16" s="73">
        <v>0.32</v>
      </c>
      <c r="J16" s="73">
        <v>0.36</v>
      </c>
      <c r="K16" s="73">
        <v>0.26</v>
      </c>
      <c r="L16" s="73">
        <v>0.53</v>
      </c>
      <c r="M16" s="73">
        <v>0.1</v>
      </c>
    </row>
    <row r="17" spans="1:13" ht="15.75" thickBot="1" x14ac:dyDescent="0.3">
      <c r="A17" s="93" t="s">
        <v>125</v>
      </c>
      <c r="B17" s="8">
        <v>1325</v>
      </c>
      <c r="C17" s="73">
        <v>7.0000000000000007E-2</v>
      </c>
      <c r="D17" s="8">
        <v>1275</v>
      </c>
      <c r="E17" s="8">
        <v>0</v>
      </c>
      <c r="F17" s="8">
        <v>0</v>
      </c>
      <c r="G17" s="8">
        <v>0</v>
      </c>
      <c r="H17" s="8">
        <v>50</v>
      </c>
      <c r="I17" s="73">
        <v>0.96</v>
      </c>
      <c r="J17" s="73">
        <v>0</v>
      </c>
      <c r="K17" s="73">
        <v>0</v>
      </c>
      <c r="L17" s="73">
        <v>0</v>
      </c>
      <c r="M17" s="73">
        <v>0.04</v>
      </c>
    </row>
    <row r="18" spans="1:13" ht="15.75" thickBot="1" x14ac:dyDescent="0.3">
      <c r="A18" s="93" t="s">
        <v>126</v>
      </c>
      <c r="B18" s="8">
        <v>9480</v>
      </c>
      <c r="C18" s="73">
        <v>7.0000000000000007E-2</v>
      </c>
      <c r="D18" s="8">
        <v>2535</v>
      </c>
      <c r="E18" s="8">
        <v>3845</v>
      </c>
      <c r="F18" s="8">
        <v>1980</v>
      </c>
      <c r="G18" s="8">
        <v>4105</v>
      </c>
      <c r="H18" s="8">
        <v>1080</v>
      </c>
      <c r="I18" s="73">
        <v>0.27</v>
      </c>
      <c r="J18" s="73">
        <v>0.41</v>
      </c>
      <c r="K18" s="73">
        <v>0.21</v>
      </c>
      <c r="L18" s="73">
        <v>0.43</v>
      </c>
      <c r="M18" s="73">
        <v>0.11</v>
      </c>
    </row>
    <row r="19" spans="1:13" ht="15.75" thickBot="1" x14ac:dyDescent="0.3">
      <c r="A19" s="93" t="s">
        <v>127</v>
      </c>
      <c r="B19" s="8">
        <v>8500</v>
      </c>
      <c r="C19" s="73">
        <v>7.0000000000000007E-2</v>
      </c>
      <c r="D19" s="8">
        <v>2525</v>
      </c>
      <c r="E19" s="8">
        <v>2820</v>
      </c>
      <c r="F19" s="8">
        <v>2485</v>
      </c>
      <c r="G19" s="8">
        <v>5575</v>
      </c>
      <c r="H19" s="8">
        <v>895</v>
      </c>
      <c r="I19" s="73">
        <v>0.3</v>
      </c>
      <c r="J19" s="73">
        <v>0.33</v>
      </c>
      <c r="K19" s="73">
        <v>0.28999999999999998</v>
      </c>
      <c r="L19" s="73">
        <v>0.66</v>
      </c>
      <c r="M19" s="73">
        <v>0.11</v>
      </c>
    </row>
    <row r="20" spans="1:13" ht="15.75" thickBot="1" x14ac:dyDescent="0.3">
      <c r="A20" s="93" t="s">
        <v>128</v>
      </c>
      <c r="B20" s="8">
        <v>4455</v>
      </c>
      <c r="C20" s="73">
        <v>0.08</v>
      </c>
      <c r="D20" s="8">
        <v>1610</v>
      </c>
      <c r="E20" s="8">
        <v>1440</v>
      </c>
      <c r="F20" s="8">
        <v>1595</v>
      </c>
      <c r="G20" s="8">
        <v>3040</v>
      </c>
      <c r="H20" s="8">
        <v>260</v>
      </c>
      <c r="I20" s="73">
        <v>0.36</v>
      </c>
      <c r="J20" s="73">
        <v>0.32</v>
      </c>
      <c r="K20" s="73">
        <v>0.36</v>
      </c>
      <c r="L20" s="73">
        <v>0.68</v>
      </c>
      <c r="M20" s="73">
        <v>0.06</v>
      </c>
    </row>
    <row r="21" spans="1:13" ht="15.75" thickBot="1" x14ac:dyDescent="0.3">
      <c r="A21" s="93" t="s">
        <v>236</v>
      </c>
      <c r="B21" s="8">
        <v>23760</v>
      </c>
      <c r="C21" s="73">
        <v>7.0000000000000007E-2</v>
      </c>
      <c r="D21" s="8">
        <v>7945</v>
      </c>
      <c r="E21" s="8">
        <v>8105</v>
      </c>
      <c r="F21" s="8">
        <v>6060</v>
      </c>
      <c r="G21" s="8">
        <v>12720</v>
      </c>
      <c r="H21" s="8">
        <v>2285</v>
      </c>
      <c r="I21" s="73">
        <v>0.33</v>
      </c>
      <c r="J21" s="73">
        <v>0.34</v>
      </c>
      <c r="K21" s="73">
        <v>0.26</v>
      </c>
      <c r="L21" s="73">
        <v>0.54</v>
      </c>
      <c r="M21" s="73">
        <v>0.1</v>
      </c>
    </row>
    <row r="22" spans="1:13" ht="15.75" thickBot="1" x14ac:dyDescent="0.3">
      <c r="A22" s="93" t="s">
        <v>340</v>
      </c>
      <c r="B22" s="8">
        <v>890</v>
      </c>
      <c r="C22" s="73">
        <v>0.05</v>
      </c>
      <c r="D22" s="8">
        <v>850</v>
      </c>
      <c r="E22" s="8">
        <v>0</v>
      </c>
      <c r="F22" s="8">
        <v>0</v>
      </c>
      <c r="G22" s="8">
        <v>0</v>
      </c>
      <c r="H22" s="8">
        <v>40</v>
      </c>
      <c r="I22" s="73">
        <v>0.96</v>
      </c>
      <c r="J22" s="73">
        <v>0</v>
      </c>
      <c r="K22" s="73">
        <v>0</v>
      </c>
      <c r="L22" s="73">
        <v>0</v>
      </c>
      <c r="M22" s="73">
        <v>0.04</v>
      </c>
    </row>
    <row r="23" spans="1:13" ht="15.75" thickBot="1" x14ac:dyDescent="0.3">
      <c r="A23" s="93" t="s">
        <v>341</v>
      </c>
      <c r="B23" s="8">
        <v>6285</v>
      </c>
      <c r="C23" s="73">
        <v>0.05</v>
      </c>
      <c r="D23" s="8">
        <v>1685</v>
      </c>
      <c r="E23" s="8">
        <v>2490</v>
      </c>
      <c r="F23" s="8">
        <v>1365</v>
      </c>
      <c r="G23" s="8">
        <v>2775</v>
      </c>
      <c r="H23" s="8">
        <v>725</v>
      </c>
      <c r="I23" s="73">
        <v>0.27</v>
      </c>
      <c r="J23" s="73">
        <v>0.4</v>
      </c>
      <c r="K23" s="73">
        <v>0.22</v>
      </c>
      <c r="L23" s="73">
        <v>0.44</v>
      </c>
      <c r="M23" s="73">
        <v>0.12</v>
      </c>
    </row>
    <row r="24" spans="1:13" ht="15.75" thickBot="1" x14ac:dyDescent="0.3">
      <c r="A24" s="93" t="s">
        <v>342</v>
      </c>
      <c r="B24" s="8">
        <v>5950</v>
      </c>
      <c r="C24" s="73">
        <v>0.05</v>
      </c>
      <c r="D24" s="8">
        <v>1700</v>
      </c>
      <c r="E24" s="8">
        <v>1965</v>
      </c>
      <c r="F24" s="8">
        <v>1730</v>
      </c>
      <c r="G24" s="8">
        <v>3945</v>
      </c>
      <c r="H24" s="8">
        <v>645</v>
      </c>
      <c r="I24" s="73">
        <v>0.28999999999999998</v>
      </c>
      <c r="J24" s="73">
        <v>0.33</v>
      </c>
      <c r="K24" s="73">
        <v>0.28999999999999998</v>
      </c>
      <c r="L24" s="73">
        <v>0.66</v>
      </c>
      <c r="M24" s="73">
        <v>0.11</v>
      </c>
    </row>
    <row r="25" spans="1:13" ht="15.75" thickBot="1" x14ac:dyDescent="0.3">
      <c r="A25" s="93" t="s">
        <v>343</v>
      </c>
      <c r="B25" s="8">
        <v>2995</v>
      </c>
      <c r="C25" s="73">
        <v>0.05</v>
      </c>
      <c r="D25" s="8">
        <v>1105</v>
      </c>
      <c r="E25" s="8">
        <v>885</v>
      </c>
      <c r="F25" s="8">
        <v>1025</v>
      </c>
      <c r="G25" s="8">
        <v>2025</v>
      </c>
      <c r="H25" s="8">
        <v>200</v>
      </c>
      <c r="I25" s="73">
        <v>0.37</v>
      </c>
      <c r="J25" s="73">
        <v>0.3</v>
      </c>
      <c r="K25" s="73">
        <v>0.34</v>
      </c>
      <c r="L25" s="73">
        <v>0.68</v>
      </c>
      <c r="M25" s="73">
        <v>7.0000000000000007E-2</v>
      </c>
    </row>
    <row r="26" spans="1:13" ht="15.75" thickBot="1" x14ac:dyDescent="0.3">
      <c r="A26" s="93" t="s">
        <v>344</v>
      </c>
      <c r="B26" s="8">
        <v>16120</v>
      </c>
      <c r="C26" s="73">
        <v>0.05</v>
      </c>
      <c r="D26" s="8">
        <v>5340</v>
      </c>
      <c r="E26" s="8">
        <v>5340</v>
      </c>
      <c r="F26" s="8">
        <v>4120</v>
      </c>
      <c r="G26" s="8">
        <v>8745</v>
      </c>
      <c r="H26" s="8">
        <v>1605</v>
      </c>
      <c r="I26" s="73">
        <v>0.33</v>
      </c>
      <c r="J26" s="73">
        <v>0.33</v>
      </c>
      <c r="K26" s="73">
        <v>0.26</v>
      </c>
      <c r="L26" s="73">
        <v>0.54</v>
      </c>
      <c r="M26" s="73">
        <v>0.1</v>
      </c>
    </row>
    <row r="27" spans="1:13" ht="15.75" thickBot="1" x14ac:dyDescent="0.3">
      <c r="A27" s="93" t="s">
        <v>345</v>
      </c>
      <c r="B27" s="8">
        <v>1415</v>
      </c>
      <c r="C27" s="73">
        <v>7.0000000000000007E-2</v>
      </c>
      <c r="D27" s="8">
        <v>1360</v>
      </c>
      <c r="E27" s="8">
        <v>0</v>
      </c>
      <c r="F27" s="8">
        <v>0</v>
      </c>
      <c r="G27" s="8">
        <v>0</v>
      </c>
      <c r="H27" s="8">
        <v>55</v>
      </c>
      <c r="I27" s="73">
        <v>0.96</v>
      </c>
      <c r="J27" s="73">
        <v>0</v>
      </c>
      <c r="K27" s="73">
        <v>0</v>
      </c>
      <c r="L27" s="73">
        <v>0</v>
      </c>
      <c r="M27" s="73">
        <v>0.04</v>
      </c>
    </row>
    <row r="28" spans="1:13" ht="15.75" thickBot="1" x14ac:dyDescent="0.3">
      <c r="A28" s="93" t="s">
        <v>346</v>
      </c>
      <c r="B28" s="8">
        <v>7835</v>
      </c>
      <c r="C28" s="73">
        <v>0.06</v>
      </c>
      <c r="D28" s="8">
        <v>2195</v>
      </c>
      <c r="E28" s="8">
        <v>3075</v>
      </c>
      <c r="F28" s="8">
        <v>1710</v>
      </c>
      <c r="G28" s="8">
        <v>3495</v>
      </c>
      <c r="H28" s="8">
        <v>840</v>
      </c>
      <c r="I28" s="73">
        <v>0.28000000000000003</v>
      </c>
      <c r="J28" s="73">
        <v>0.39</v>
      </c>
      <c r="K28" s="73">
        <v>0.22</v>
      </c>
      <c r="L28" s="73">
        <v>0.45</v>
      </c>
      <c r="M28" s="73">
        <v>0.11</v>
      </c>
    </row>
    <row r="29" spans="1:13" ht="15.75" thickBot="1" x14ac:dyDescent="0.3">
      <c r="A29" s="93" t="s">
        <v>347</v>
      </c>
      <c r="B29" s="8">
        <v>8895</v>
      </c>
      <c r="C29" s="73">
        <v>7.0000000000000007E-2</v>
      </c>
      <c r="D29" s="8">
        <v>2495</v>
      </c>
      <c r="E29" s="8">
        <v>2950</v>
      </c>
      <c r="F29" s="8">
        <v>2460</v>
      </c>
      <c r="G29" s="8">
        <v>5865</v>
      </c>
      <c r="H29" s="8">
        <v>1040</v>
      </c>
      <c r="I29" s="73">
        <v>0.28000000000000003</v>
      </c>
      <c r="J29" s="73">
        <v>0.33</v>
      </c>
      <c r="K29" s="73">
        <v>0.28000000000000003</v>
      </c>
      <c r="L29" s="73">
        <v>0.66</v>
      </c>
      <c r="M29" s="73">
        <v>0.12</v>
      </c>
    </row>
    <row r="30" spans="1:13" ht="15.75" thickBot="1" x14ac:dyDescent="0.3">
      <c r="A30" s="93" t="s">
        <v>348</v>
      </c>
      <c r="B30" s="8">
        <v>4350</v>
      </c>
      <c r="C30" s="73">
        <v>0.08</v>
      </c>
      <c r="D30" s="8">
        <v>1550</v>
      </c>
      <c r="E30" s="8">
        <v>1350</v>
      </c>
      <c r="F30" s="8">
        <v>1410</v>
      </c>
      <c r="G30" s="8">
        <v>2925</v>
      </c>
      <c r="H30" s="8">
        <v>325</v>
      </c>
      <c r="I30" s="73">
        <v>0.36</v>
      </c>
      <c r="J30" s="73">
        <v>0.31</v>
      </c>
      <c r="K30" s="73">
        <v>0.32</v>
      </c>
      <c r="L30" s="73">
        <v>0.67</v>
      </c>
      <c r="M30" s="73">
        <v>7.0000000000000007E-2</v>
      </c>
    </row>
    <row r="31" spans="1:13" ht="15.75" thickBot="1" x14ac:dyDescent="0.3">
      <c r="A31" s="93" t="s">
        <v>349</v>
      </c>
      <c r="B31" s="8">
        <v>22495</v>
      </c>
      <c r="C31" s="73">
        <v>7.0000000000000007E-2</v>
      </c>
      <c r="D31" s="8">
        <v>7605</v>
      </c>
      <c r="E31" s="8">
        <v>7370</v>
      </c>
      <c r="F31" s="8">
        <v>5585</v>
      </c>
      <c r="G31" s="8">
        <v>12285</v>
      </c>
      <c r="H31" s="8">
        <v>2260</v>
      </c>
      <c r="I31" s="73">
        <v>0.34</v>
      </c>
      <c r="J31" s="73">
        <v>0.33</v>
      </c>
      <c r="K31" s="73">
        <v>0.25</v>
      </c>
      <c r="L31" s="73">
        <v>0.55000000000000004</v>
      </c>
      <c r="M31" s="73">
        <v>0.1</v>
      </c>
    </row>
    <row r="32" spans="1:13" ht="30.75" thickBot="1" x14ac:dyDescent="0.3">
      <c r="A32" s="93" t="s">
        <v>350</v>
      </c>
      <c r="B32" s="8">
        <v>4465</v>
      </c>
      <c r="C32" s="73">
        <v>0.23</v>
      </c>
      <c r="D32" s="8">
        <v>4295</v>
      </c>
      <c r="E32" s="8">
        <v>0</v>
      </c>
      <c r="F32" s="8">
        <v>0</v>
      </c>
      <c r="G32" s="8">
        <v>0</v>
      </c>
      <c r="H32" s="8">
        <v>170</v>
      </c>
      <c r="I32" s="73">
        <v>0.96</v>
      </c>
      <c r="J32" s="73">
        <v>0</v>
      </c>
      <c r="K32" s="73">
        <v>0</v>
      </c>
      <c r="L32" s="73">
        <v>0</v>
      </c>
      <c r="M32" s="73">
        <v>0.04</v>
      </c>
    </row>
    <row r="33" spans="1:13" ht="30.75" thickBot="1" x14ac:dyDescent="0.3">
      <c r="A33" s="93" t="s">
        <v>351</v>
      </c>
      <c r="B33" s="8">
        <v>33555</v>
      </c>
      <c r="C33" s="73">
        <v>0.26</v>
      </c>
      <c r="D33" s="8">
        <v>8265</v>
      </c>
      <c r="E33" s="8">
        <v>12770</v>
      </c>
      <c r="F33" s="8">
        <v>7260</v>
      </c>
      <c r="G33" s="8">
        <v>13770</v>
      </c>
      <c r="H33" s="8">
        <v>4925</v>
      </c>
      <c r="I33" s="73">
        <v>0.25</v>
      </c>
      <c r="J33" s="73">
        <v>0.38</v>
      </c>
      <c r="K33" s="73">
        <v>0.22</v>
      </c>
      <c r="L33" s="73">
        <v>0.41</v>
      </c>
      <c r="M33" s="73">
        <v>0.15</v>
      </c>
    </row>
    <row r="34" spans="1:13" ht="30.75" thickBot="1" x14ac:dyDescent="0.3">
      <c r="A34" s="93" t="s">
        <v>352</v>
      </c>
      <c r="B34" s="8">
        <v>30335</v>
      </c>
      <c r="C34" s="73">
        <v>0.26</v>
      </c>
      <c r="D34" s="8">
        <v>8370</v>
      </c>
      <c r="E34" s="8">
        <v>9585</v>
      </c>
      <c r="F34" s="8">
        <v>8360</v>
      </c>
      <c r="G34" s="8">
        <v>19405</v>
      </c>
      <c r="H34" s="8">
        <v>4055</v>
      </c>
      <c r="I34" s="73">
        <v>0.28000000000000003</v>
      </c>
      <c r="J34" s="73">
        <v>0.32</v>
      </c>
      <c r="K34" s="73">
        <v>0.28000000000000003</v>
      </c>
      <c r="L34" s="73">
        <v>0.64</v>
      </c>
      <c r="M34" s="73">
        <v>0.13</v>
      </c>
    </row>
    <row r="35" spans="1:13" ht="30.75" thickBot="1" x14ac:dyDescent="0.3">
      <c r="A35" s="93" t="s">
        <v>353</v>
      </c>
      <c r="B35" s="8">
        <v>15060</v>
      </c>
      <c r="C35" s="73">
        <v>0.26</v>
      </c>
      <c r="D35" s="8">
        <v>5490</v>
      </c>
      <c r="E35" s="8">
        <v>4385</v>
      </c>
      <c r="F35" s="8">
        <v>5060</v>
      </c>
      <c r="G35" s="8">
        <v>10000</v>
      </c>
      <c r="H35" s="8">
        <v>1345</v>
      </c>
      <c r="I35" s="73">
        <v>0.36</v>
      </c>
      <c r="J35" s="73">
        <v>0.28999999999999998</v>
      </c>
      <c r="K35" s="73">
        <v>0.34</v>
      </c>
      <c r="L35" s="73">
        <v>0.66</v>
      </c>
      <c r="M35" s="73">
        <v>0.09</v>
      </c>
    </row>
    <row r="36" spans="1:13" ht="15.75" thickBot="1" x14ac:dyDescent="0.3">
      <c r="A36" s="93" t="s">
        <v>354</v>
      </c>
      <c r="B36" s="8">
        <v>83415</v>
      </c>
      <c r="C36" s="73">
        <v>0.26</v>
      </c>
      <c r="D36" s="8">
        <v>26425</v>
      </c>
      <c r="E36" s="8">
        <v>26740</v>
      </c>
      <c r="F36" s="8">
        <v>20680</v>
      </c>
      <c r="G36" s="8">
        <v>43180</v>
      </c>
      <c r="H36" s="8">
        <v>10495</v>
      </c>
      <c r="I36" s="73">
        <v>0.32</v>
      </c>
      <c r="J36" s="73">
        <v>0.32</v>
      </c>
      <c r="K36" s="73">
        <v>0.25</v>
      </c>
      <c r="L36" s="73">
        <v>0.52</v>
      </c>
      <c r="M36" s="73">
        <v>0.13</v>
      </c>
    </row>
    <row r="37" spans="1:13" ht="15.75" thickBot="1" x14ac:dyDescent="0.3">
      <c r="A37" s="93" t="s">
        <v>133</v>
      </c>
      <c r="B37" s="8">
        <v>875</v>
      </c>
      <c r="C37" s="73">
        <v>0.04</v>
      </c>
      <c r="D37" s="8">
        <v>840</v>
      </c>
      <c r="E37" s="8">
        <v>0</v>
      </c>
      <c r="F37" s="8">
        <v>0</v>
      </c>
      <c r="G37" s="8">
        <v>0</v>
      </c>
      <c r="H37" s="8">
        <v>30</v>
      </c>
      <c r="I37" s="73">
        <v>0.96</v>
      </c>
      <c r="J37" s="73">
        <v>0</v>
      </c>
      <c r="K37" s="73">
        <v>0</v>
      </c>
      <c r="L37" s="73">
        <v>0</v>
      </c>
      <c r="M37" s="73">
        <v>0.04</v>
      </c>
    </row>
    <row r="38" spans="1:13" ht="15.75" thickBot="1" x14ac:dyDescent="0.3">
      <c r="A38" s="93" t="s">
        <v>134</v>
      </c>
      <c r="B38" s="8">
        <v>5100</v>
      </c>
      <c r="C38" s="73">
        <v>0.04</v>
      </c>
      <c r="D38" s="8">
        <v>1435</v>
      </c>
      <c r="E38" s="8">
        <v>2050</v>
      </c>
      <c r="F38" s="8">
        <v>1170</v>
      </c>
      <c r="G38" s="8">
        <v>2090</v>
      </c>
      <c r="H38" s="8">
        <v>535</v>
      </c>
      <c r="I38" s="73">
        <v>0.28000000000000003</v>
      </c>
      <c r="J38" s="73">
        <v>0.4</v>
      </c>
      <c r="K38" s="73">
        <v>0.23</v>
      </c>
      <c r="L38" s="73">
        <v>0.41</v>
      </c>
      <c r="M38" s="73">
        <v>0.1</v>
      </c>
    </row>
    <row r="39" spans="1:13" ht="15.75" thickBot="1" x14ac:dyDescent="0.3">
      <c r="A39" s="93" t="s">
        <v>135</v>
      </c>
      <c r="B39" s="8">
        <v>5545</v>
      </c>
      <c r="C39" s="73">
        <v>0.05</v>
      </c>
      <c r="D39" s="8">
        <v>1590</v>
      </c>
      <c r="E39" s="8">
        <v>1915</v>
      </c>
      <c r="F39" s="8">
        <v>1590</v>
      </c>
      <c r="G39" s="8">
        <v>3605</v>
      </c>
      <c r="H39" s="8">
        <v>665</v>
      </c>
      <c r="I39" s="73">
        <v>0.28999999999999998</v>
      </c>
      <c r="J39" s="73">
        <v>0.35</v>
      </c>
      <c r="K39" s="73">
        <v>0.28999999999999998</v>
      </c>
      <c r="L39" s="73">
        <v>0.65</v>
      </c>
      <c r="M39" s="73">
        <v>0.12</v>
      </c>
    </row>
    <row r="40" spans="1:13" ht="15.75" thickBot="1" x14ac:dyDescent="0.3">
      <c r="A40" s="93" t="s">
        <v>136</v>
      </c>
      <c r="B40" s="8">
        <v>2505</v>
      </c>
      <c r="C40" s="73">
        <v>0.04</v>
      </c>
      <c r="D40" s="8">
        <v>875</v>
      </c>
      <c r="E40" s="8">
        <v>780</v>
      </c>
      <c r="F40" s="8">
        <v>940</v>
      </c>
      <c r="G40" s="8">
        <v>1625</v>
      </c>
      <c r="H40" s="8">
        <v>180</v>
      </c>
      <c r="I40" s="73">
        <v>0.35</v>
      </c>
      <c r="J40" s="73">
        <v>0.31</v>
      </c>
      <c r="K40" s="73">
        <v>0.37</v>
      </c>
      <c r="L40" s="73">
        <v>0.65</v>
      </c>
      <c r="M40" s="73">
        <v>7.0000000000000007E-2</v>
      </c>
    </row>
    <row r="41" spans="1:13" ht="15.75" thickBot="1" x14ac:dyDescent="0.3">
      <c r="A41" s="93" t="s">
        <v>238</v>
      </c>
      <c r="B41" s="8">
        <v>14020</v>
      </c>
      <c r="C41" s="73">
        <v>0.04</v>
      </c>
      <c r="D41" s="8">
        <v>4745</v>
      </c>
      <c r="E41" s="8">
        <v>4745</v>
      </c>
      <c r="F41" s="8">
        <v>3695</v>
      </c>
      <c r="G41" s="8">
        <v>7315</v>
      </c>
      <c r="H41" s="8">
        <v>1410</v>
      </c>
      <c r="I41" s="73">
        <v>0.34</v>
      </c>
      <c r="J41" s="73">
        <v>0.34</v>
      </c>
      <c r="K41" s="73">
        <v>0.26</v>
      </c>
      <c r="L41" s="73">
        <v>0.52</v>
      </c>
      <c r="M41" s="73">
        <v>0.1</v>
      </c>
    </row>
    <row r="42" spans="1:13" ht="15.75" thickBot="1" x14ac:dyDescent="0.3">
      <c r="A42" s="93" t="s">
        <v>355</v>
      </c>
      <c r="B42" s="8">
        <v>2560</v>
      </c>
      <c r="C42" s="73">
        <v>0.13</v>
      </c>
      <c r="D42" s="8">
        <v>2465</v>
      </c>
      <c r="E42" s="8">
        <v>0</v>
      </c>
      <c r="F42" s="8">
        <v>0</v>
      </c>
      <c r="G42" s="8">
        <v>0</v>
      </c>
      <c r="H42" s="8">
        <v>95</v>
      </c>
      <c r="I42" s="73">
        <v>0.96</v>
      </c>
      <c r="J42" s="73">
        <v>0</v>
      </c>
      <c r="K42" s="73">
        <v>0</v>
      </c>
      <c r="L42" s="73">
        <v>0</v>
      </c>
      <c r="M42" s="73">
        <v>0.04</v>
      </c>
    </row>
    <row r="43" spans="1:13" ht="15.75" thickBot="1" x14ac:dyDescent="0.3">
      <c r="A43" s="93" t="s">
        <v>356</v>
      </c>
      <c r="B43" s="8">
        <v>17125</v>
      </c>
      <c r="C43" s="73">
        <v>0.13</v>
      </c>
      <c r="D43" s="8">
        <v>4480</v>
      </c>
      <c r="E43" s="8">
        <v>6570</v>
      </c>
      <c r="F43" s="8">
        <v>3780</v>
      </c>
      <c r="G43" s="8">
        <v>6995</v>
      </c>
      <c r="H43" s="8">
        <v>2275</v>
      </c>
      <c r="I43" s="73">
        <v>0.26</v>
      </c>
      <c r="J43" s="73">
        <v>0.38</v>
      </c>
      <c r="K43" s="73">
        <v>0.22</v>
      </c>
      <c r="L43" s="73">
        <v>0.41</v>
      </c>
      <c r="M43" s="73">
        <v>0.13</v>
      </c>
    </row>
    <row r="44" spans="1:13" ht="15.75" thickBot="1" x14ac:dyDescent="0.3">
      <c r="A44" s="93" t="s">
        <v>357</v>
      </c>
      <c r="B44" s="8">
        <v>16410</v>
      </c>
      <c r="C44" s="73">
        <v>0.14000000000000001</v>
      </c>
      <c r="D44" s="8">
        <v>4750</v>
      </c>
      <c r="E44" s="8">
        <v>5345</v>
      </c>
      <c r="F44" s="8">
        <v>4480</v>
      </c>
      <c r="G44" s="8">
        <v>10695</v>
      </c>
      <c r="H44" s="8">
        <v>2010</v>
      </c>
      <c r="I44" s="73">
        <v>0.28999999999999998</v>
      </c>
      <c r="J44" s="73">
        <v>0.33</v>
      </c>
      <c r="K44" s="73">
        <v>0.27</v>
      </c>
      <c r="L44" s="73">
        <v>0.65</v>
      </c>
      <c r="M44" s="73">
        <v>0.12</v>
      </c>
    </row>
    <row r="45" spans="1:13" ht="15.75" thickBot="1" x14ac:dyDescent="0.3">
      <c r="A45" s="93" t="s">
        <v>358</v>
      </c>
      <c r="B45" s="8">
        <v>7805</v>
      </c>
      <c r="C45" s="73">
        <v>0.14000000000000001</v>
      </c>
      <c r="D45" s="8">
        <v>3005</v>
      </c>
      <c r="E45" s="8">
        <v>2320</v>
      </c>
      <c r="F45" s="8">
        <v>2680</v>
      </c>
      <c r="G45" s="8">
        <v>5320</v>
      </c>
      <c r="H45" s="8">
        <v>530</v>
      </c>
      <c r="I45" s="73">
        <v>0.39</v>
      </c>
      <c r="J45" s="73">
        <v>0.3</v>
      </c>
      <c r="K45" s="73">
        <v>0.34</v>
      </c>
      <c r="L45" s="73">
        <v>0.68</v>
      </c>
      <c r="M45" s="73">
        <v>7.0000000000000007E-2</v>
      </c>
    </row>
    <row r="46" spans="1:13" ht="15.75" thickBot="1" x14ac:dyDescent="0.3">
      <c r="A46" s="93" t="s">
        <v>359</v>
      </c>
      <c r="B46" s="8">
        <v>43900</v>
      </c>
      <c r="C46" s="73">
        <v>0.14000000000000001</v>
      </c>
      <c r="D46" s="8">
        <v>14695</v>
      </c>
      <c r="E46" s="8">
        <v>14235</v>
      </c>
      <c r="F46" s="8">
        <v>10940</v>
      </c>
      <c r="G46" s="8">
        <v>23010</v>
      </c>
      <c r="H46" s="8">
        <v>4910</v>
      </c>
      <c r="I46" s="73">
        <v>0.33</v>
      </c>
      <c r="J46" s="73">
        <v>0.32</v>
      </c>
      <c r="K46" s="73">
        <v>0.25</v>
      </c>
      <c r="L46" s="73">
        <v>0.52</v>
      </c>
      <c r="M46" s="73">
        <v>0.11</v>
      </c>
    </row>
    <row r="47" spans="1:13" ht="15.75" thickBot="1" x14ac:dyDescent="0.3">
      <c r="A47" s="93" t="s">
        <v>360</v>
      </c>
      <c r="B47" s="8">
        <v>2335</v>
      </c>
      <c r="C47" s="73">
        <v>0.12</v>
      </c>
      <c r="D47" s="8">
        <v>2260</v>
      </c>
      <c r="E47" s="8">
        <v>0</v>
      </c>
      <c r="F47" s="8">
        <v>0</v>
      </c>
      <c r="G47" s="8">
        <v>0</v>
      </c>
      <c r="H47" s="8">
        <v>75</v>
      </c>
      <c r="I47" s="73">
        <v>0.97</v>
      </c>
      <c r="J47" s="73">
        <v>0</v>
      </c>
      <c r="K47" s="73">
        <v>0</v>
      </c>
      <c r="L47" s="73">
        <v>0</v>
      </c>
      <c r="M47" s="73">
        <v>0.03</v>
      </c>
    </row>
    <row r="48" spans="1:13" ht="15.75" thickBot="1" x14ac:dyDescent="0.3">
      <c r="A48" s="93" t="s">
        <v>361</v>
      </c>
      <c r="B48" s="8">
        <v>16225</v>
      </c>
      <c r="C48" s="73">
        <v>0.13</v>
      </c>
      <c r="D48" s="8">
        <v>3980</v>
      </c>
      <c r="E48" s="8">
        <v>6395</v>
      </c>
      <c r="F48" s="8">
        <v>3735</v>
      </c>
      <c r="G48" s="8">
        <v>6765</v>
      </c>
      <c r="H48" s="8">
        <v>2040</v>
      </c>
      <c r="I48" s="73">
        <v>0.25</v>
      </c>
      <c r="J48" s="73">
        <v>0.39</v>
      </c>
      <c r="K48" s="73">
        <v>0.23</v>
      </c>
      <c r="L48" s="73">
        <v>0.42</v>
      </c>
      <c r="M48" s="73">
        <v>0.13</v>
      </c>
    </row>
    <row r="49" spans="1:13" ht="15.75" thickBot="1" x14ac:dyDescent="0.3">
      <c r="A49" s="93" t="s">
        <v>362</v>
      </c>
      <c r="B49" s="8">
        <v>16535</v>
      </c>
      <c r="C49" s="73">
        <v>0.14000000000000001</v>
      </c>
      <c r="D49" s="8">
        <v>4625</v>
      </c>
      <c r="E49" s="8">
        <v>5370</v>
      </c>
      <c r="F49" s="8">
        <v>4835</v>
      </c>
      <c r="G49" s="8">
        <v>10625</v>
      </c>
      <c r="H49" s="8">
        <v>1965</v>
      </c>
      <c r="I49" s="73">
        <v>0.28000000000000003</v>
      </c>
      <c r="J49" s="73">
        <v>0.32</v>
      </c>
      <c r="K49" s="73">
        <v>0.28999999999999998</v>
      </c>
      <c r="L49" s="73">
        <v>0.64</v>
      </c>
      <c r="M49" s="73">
        <v>0.12</v>
      </c>
    </row>
    <row r="50" spans="1:13" ht="15.75" thickBot="1" x14ac:dyDescent="0.3">
      <c r="A50" s="93" t="s">
        <v>363</v>
      </c>
      <c r="B50" s="8">
        <v>8245</v>
      </c>
      <c r="C50" s="73">
        <v>0.14000000000000001</v>
      </c>
      <c r="D50" s="8">
        <v>3035</v>
      </c>
      <c r="E50" s="8">
        <v>2405</v>
      </c>
      <c r="F50" s="8">
        <v>2795</v>
      </c>
      <c r="G50" s="8">
        <v>5530</v>
      </c>
      <c r="H50" s="8">
        <v>555</v>
      </c>
      <c r="I50" s="73">
        <v>0.37</v>
      </c>
      <c r="J50" s="73">
        <v>0.28999999999999998</v>
      </c>
      <c r="K50" s="73">
        <v>0.34</v>
      </c>
      <c r="L50" s="73">
        <v>0.67</v>
      </c>
      <c r="M50" s="73">
        <v>7.0000000000000007E-2</v>
      </c>
    </row>
    <row r="51" spans="1:13" ht="15.75" thickBot="1" x14ac:dyDescent="0.3">
      <c r="A51" s="93" t="s">
        <v>364</v>
      </c>
      <c r="B51" s="8">
        <v>43335</v>
      </c>
      <c r="C51" s="73">
        <v>0.13</v>
      </c>
      <c r="D51" s="8">
        <v>13900</v>
      </c>
      <c r="E51" s="8">
        <v>14170</v>
      </c>
      <c r="F51" s="8">
        <v>11365</v>
      </c>
      <c r="G51" s="8">
        <v>22915</v>
      </c>
      <c r="H51" s="8">
        <v>4640</v>
      </c>
      <c r="I51" s="73">
        <v>0.32</v>
      </c>
      <c r="J51" s="73">
        <v>0.33</v>
      </c>
      <c r="K51" s="73">
        <v>0.26</v>
      </c>
      <c r="L51" s="73">
        <v>0.53</v>
      </c>
      <c r="M51" s="73">
        <v>0.11</v>
      </c>
    </row>
    <row r="52" spans="1:13" ht="15.75" thickBot="1" x14ac:dyDescent="0.3">
      <c r="A52" s="93" t="s">
        <v>153</v>
      </c>
      <c r="B52" s="8">
        <v>45</v>
      </c>
      <c r="C52" s="73">
        <v>0</v>
      </c>
      <c r="D52" s="8">
        <v>35</v>
      </c>
      <c r="E52" s="8">
        <v>0</v>
      </c>
      <c r="F52" s="8">
        <v>0</v>
      </c>
      <c r="G52" s="8">
        <v>0</v>
      </c>
      <c r="H52" s="8">
        <v>10</v>
      </c>
      <c r="I52" s="73">
        <v>0.77</v>
      </c>
      <c r="J52" s="73">
        <v>0</v>
      </c>
      <c r="K52" s="73">
        <v>0</v>
      </c>
      <c r="L52" s="73">
        <v>0</v>
      </c>
      <c r="M52" s="73">
        <v>0.23</v>
      </c>
    </row>
    <row r="53" spans="1:13" ht="15.75" thickBot="1" x14ac:dyDescent="0.3">
      <c r="A53" s="93" t="s">
        <v>154</v>
      </c>
      <c r="B53" s="8">
        <v>160</v>
      </c>
      <c r="C53" s="73">
        <v>0</v>
      </c>
      <c r="D53" s="8">
        <v>65</v>
      </c>
      <c r="E53" s="8">
        <v>50</v>
      </c>
      <c r="F53" s="8">
        <v>25</v>
      </c>
      <c r="G53" s="8">
        <v>70</v>
      </c>
      <c r="H53" s="8">
        <v>25</v>
      </c>
      <c r="I53" s="73">
        <v>0.4</v>
      </c>
      <c r="J53" s="73">
        <v>0.33</v>
      </c>
      <c r="K53" s="73">
        <v>0.14000000000000001</v>
      </c>
      <c r="L53" s="73">
        <v>0.43</v>
      </c>
      <c r="M53" s="73">
        <v>0.16</v>
      </c>
    </row>
    <row r="54" spans="1:13" ht="15.75" thickBot="1" x14ac:dyDescent="0.3">
      <c r="A54" s="93" t="s">
        <v>155</v>
      </c>
      <c r="B54" s="8">
        <v>130</v>
      </c>
      <c r="C54" s="73">
        <v>0</v>
      </c>
      <c r="D54" s="8">
        <v>35</v>
      </c>
      <c r="E54" s="8">
        <v>35</v>
      </c>
      <c r="F54" s="8">
        <v>25</v>
      </c>
      <c r="G54" s="8">
        <v>80</v>
      </c>
      <c r="H54" s="8">
        <v>30</v>
      </c>
      <c r="I54" s="73">
        <v>0.27</v>
      </c>
      <c r="J54" s="73">
        <v>0.28000000000000003</v>
      </c>
      <c r="K54" s="73">
        <v>0.17</v>
      </c>
      <c r="L54" s="73">
        <v>0.59</v>
      </c>
      <c r="M54" s="73">
        <v>0.23</v>
      </c>
    </row>
    <row r="55" spans="1:13" ht="15.75" thickBot="1" x14ac:dyDescent="0.3">
      <c r="A55" s="93" t="s">
        <v>156</v>
      </c>
      <c r="B55" s="8">
        <v>215</v>
      </c>
      <c r="C55" s="73">
        <v>0</v>
      </c>
      <c r="D55" s="8">
        <v>90</v>
      </c>
      <c r="E55" s="8">
        <v>50</v>
      </c>
      <c r="F55" s="8">
        <v>55</v>
      </c>
      <c r="G55" s="8">
        <v>150</v>
      </c>
      <c r="H55" s="8">
        <v>15</v>
      </c>
      <c r="I55" s="73">
        <v>0.41</v>
      </c>
      <c r="J55" s="73">
        <v>0.24</v>
      </c>
      <c r="K55" s="73">
        <v>0.26</v>
      </c>
      <c r="L55" s="73">
        <v>0.7</v>
      </c>
      <c r="M55" s="73">
        <v>7.0000000000000007E-2</v>
      </c>
    </row>
    <row r="56" spans="1:13" ht="15.75" thickBot="1" x14ac:dyDescent="0.3">
      <c r="A56" s="93" t="s">
        <v>243</v>
      </c>
      <c r="B56" s="8">
        <v>555</v>
      </c>
      <c r="C56" s="73">
        <v>0</v>
      </c>
      <c r="D56" s="8">
        <v>225</v>
      </c>
      <c r="E56" s="8">
        <v>140</v>
      </c>
      <c r="F56" s="8">
        <v>100</v>
      </c>
      <c r="G56" s="8">
        <v>300</v>
      </c>
      <c r="H56" s="8">
        <v>85</v>
      </c>
      <c r="I56" s="73">
        <v>0.4</v>
      </c>
      <c r="J56" s="73">
        <v>0.25</v>
      </c>
      <c r="K56" s="73">
        <v>0.18</v>
      </c>
      <c r="L56" s="73">
        <v>0.54</v>
      </c>
      <c r="M56" s="73">
        <v>0.15</v>
      </c>
    </row>
    <row r="57" spans="1:13" ht="15.75" thickBot="1" x14ac:dyDescent="0.3">
      <c r="A57" s="93" t="s">
        <v>218</v>
      </c>
      <c r="B57" s="8">
        <v>1915</v>
      </c>
      <c r="C57" s="73">
        <v>0.1</v>
      </c>
      <c r="D57" s="8">
        <v>1865</v>
      </c>
      <c r="E57" s="8">
        <v>0</v>
      </c>
      <c r="F57" s="8">
        <v>0</v>
      </c>
      <c r="G57" s="8">
        <v>0</v>
      </c>
      <c r="H57" s="8">
        <v>55</v>
      </c>
      <c r="I57" s="73">
        <v>0.97</v>
      </c>
      <c r="J57" s="73">
        <v>0</v>
      </c>
      <c r="K57" s="73">
        <v>0</v>
      </c>
      <c r="L57" s="73">
        <v>0</v>
      </c>
      <c r="M57" s="73">
        <v>0.03</v>
      </c>
    </row>
    <row r="58" spans="1:13" ht="15.75" thickBot="1" x14ac:dyDescent="0.3">
      <c r="A58" s="93" t="s">
        <v>219</v>
      </c>
      <c r="B58" s="8">
        <v>6345</v>
      </c>
      <c r="C58" s="73">
        <v>0.05</v>
      </c>
      <c r="D58" s="8">
        <v>3770</v>
      </c>
      <c r="E58" s="8">
        <v>1555</v>
      </c>
      <c r="F58" s="8">
        <v>565</v>
      </c>
      <c r="G58" s="8">
        <v>3600</v>
      </c>
      <c r="H58" s="8">
        <v>535</v>
      </c>
      <c r="I58" s="73">
        <v>0.59</v>
      </c>
      <c r="J58" s="73">
        <v>0.24</v>
      </c>
      <c r="K58" s="73">
        <v>0.09</v>
      </c>
      <c r="L58" s="73">
        <v>0.56999999999999995</v>
      </c>
      <c r="M58" s="73">
        <v>0.08</v>
      </c>
    </row>
    <row r="59" spans="1:13" ht="15.75" thickBot="1" x14ac:dyDescent="0.3">
      <c r="A59" s="93" t="s">
        <v>220</v>
      </c>
      <c r="B59" s="8">
        <v>2070</v>
      </c>
      <c r="C59" s="73">
        <v>0.02</v>
      </c>
      <c r="D59" s="8">
        <v>1170</v>
      </c>
      <c r="E59" s="8">
        <v>510</v>
      </c>
      <c r="F59" s="8">
        <v>165</v>
      </c>
      <c r="G59" s="8">
        <v>1745</v>
      </c>
      <c r="H59" s="8">
        <v>170</v>
      </c>
      <c r="I59" s="73">
        <v>0.56000000000000005</v>
      </c>
      <c r="J59" s="73">
        <v>0.25</v>
      </c>
      <c r="K59" s="73">
        <v>0.08</v>
      </c>
      <c r="L59" s="73">
        <v>0.84</v>
      </c>
      <c r="M59" s="73">
        <v>0.08</v>
      </c>
    </row>
    <row r="60" spans="1:13" ht="15.75" thickBot="1" x14ac:dyDescent="0.3">
      <c r="A60" s="93" t="s">
        <v>221</v>
      </c>
      <c r="B60" s="8">
        <v>200</v>
      </c>
      <c r="C60" s="73">
        <v>0</v>
      </c>
      <c r="D60" s="8">
        <v>90</v>
      </c>
      <c r="E60" s="8">
        <v>55</v>
      </c>
      <c r="F60" s="8">
        <v>30</v>
      </c>
      <c r="G60" s="8">
        <v>165</v>
      </c>
      <c r="H60" s="8">
        <v>15</v>
      </c>
      <c r="I60" s="73">
        <v>0.45</v>
      </c>
      <c r="J60" s="73">
        <v>0.27</v>
      </c>
      <c r="K60" s="73">
        <v>0.16</v>
      </c>
      <c r="L60" s="73">
        <v>0.83</v>
      </c>
      <c r="M60" s="73">
        <v>0.08</v>
      </c>
    </row>
    <row r="61" spans="1:13" ht="15.75" thickBot="1" x14ac:dyDescent="0.3">
      <c r="A61" s="93" t="s">
        <v>257</v>
      </c>
      <c r="B61" s="8">
        <v>10530</v>
      </c>
      <c r="C61" s="73">
        <v>0.03</v>
      </c>
      <c r="D61" s="8">
        <v>6890</v>
      </c>
      <c r="E61" s="8">
        <v>2115</v>
      </c>
      <c r="F61" s="8">
        <v>765</v>
      </c>
      <c r="G61" s="8">
        <v>5510</v>
      </c>
      <c r="H61" s="8">
        <v>775</v>
      </c>
      <c r="I61" s="73">
        <v>0.65</v>
      </c>
      <c r="J61" s="73">
        <v>0.2</v>
      </c>
      <c r="K61" s="73">
        <v>7.0000000000000007E-2</v>
      </c>
      <c r="L61" s="73">
        <v>0.52</v>
      </c>
      <c r="M61" s="73">
        <v>7.0000000000000007E-2</v>
      </c>
    </row>
    <row r="62" spans="1:13" ht="15.75" thickBot="1" x14ac:dyDescent="0.3">
      <c r="A62" s="93" t="s">
        <v>365</v>
      </c>
      <c r="B62" s="8">
        <v>60</v>
      </c>
      <c r="C62" s="73">
        <v>0</v>
      </c>
      <c r="D62" s="8">
        <v>60</v>
      </c>
      <c r="E62" s="8">
        <v>0</v>
      </c>
      <c r="F62" s="8">
        <v>0</v>
      </c>
      <c r="G62" s="8">
        <v>0</v>
      </c>
      <c r="H62" s="8" t="s">
        <v>449</v>
      </c>
      <c r="I62" s="73" t="s">
        <v>449</v>
      </c>
      <c r="J62" s="73">
        <v>0</v>
      </c>
      <c r="K62" s="73">
        <v>0</v>
      </c>
      <c r="L62" s="73">
        <v>0</v>
      </c>
      <c r="M62" s="73" t="s">
        <v>449</v>
      </c>
    </row>
    <row r="63" spans="1:13" ht="15.75" thickBot="1" x14ac:dyDescent="0.3">
      <c r="A63" s="93" t="s">
        <v>366</v>
      </c>
      <c r="B63" s="8">
        <v>220</v>
      </c>
      <c r="C63" s="73">
        <v>0</v>
      </c>
      <c r="D63" s="8">
        <v>70</v>
      </c>
      <c r="E63" s="8">
        <v>90</v>
      </c>
      <c r="F63" s="8">
        <v>60</v>
      </c>
      <c r="G63" s="8">
        <v>100</v>
      </c>
      <c r="H63" s="8">
        <v>15</v>
      </c>
      <c r="I63" s="73">
        <v>0.32</v>
      </c>
      <c r="J63" s="73">
        <v>0.42</v>
      </c>
      <c r="K63" s="73">
        <v>0.27</v>
      </c>
      <c r="L63" s="73">
        <v>0.46</v>
      </c>
      <c r="M63" s="73">
        <v>0.08</v>
      </c>
    </row>
    <row r="64" spans="1:13" ht="15.75" thickBot="1" x14ac:dyDescent="0.3">
      <c r="A64" s="93" t="s">
        <v>367</v>
      </c>
      <c r="B64" s="8">
        <v>280</v>
      </c>
      <c r="C64" s="73">
        <v>0</v>
      </c>
      <c r="D64" s="8">
        <v>70</v>
      </c>
      <c r="E64" s="8">
        <v>95</v>
      </c>
      <c r="F64" s="8">
        <v>95</v>
      </c>
      <c r="G64" s="8">
        <v>185</v>
      </c>
      <c r="H64" s="8">
        <v>30</v>
      </c>
      <c r="I64" s="73">
        <v>0.25</v>
      </c>
      <c r="J64" s="73">
        <v>0.33</v>
      </c>
      <c r="K64" s="73">
        <v>0.33</v>
      </c>
      <c r="L64" s="73">
        <v>0.65</v>
      </c>
      <c r="M64" s="73">
        <v>0.1</v>
      </c>
    </row>
    <row r="65" spans="1:13" ht="15.75" thickBot="1" x14ac:dyDescent="0.3">
      <c r="A65" s="93" t="s">
        <v>368</v>
      </c>
      <c r="B65" s="8">
        <v>100</v>
      </c>
      <c r="C65" s="73">
        <v>0</v>
      </c>
      <c r="D65" s="8">
        <v>20</v>
      </c>
      <c r="E65" s="8">
        <v>35</v>
      </c>
      <c r="F65" s="8">
        <v>40</v>
      </c>
      <c r="G65" s="8">
        <v>65</v>
      </c>
      <c r="H65" s="8">
        <v>10</v>
      </c>
      <c r="I65" s="73">
        <v>0.22</v>
      </c>
      <c r="J65" s="73">
        <v>0.33</v>
      </c>
      <c r="K65" s="73">
        <v>0.4</v>
      </c>
      <c r="L65" s="73">
        <v>0.66</v>
      </c>
      <c r="M65" s="73">
        <v>0.08</v>
      </c>
    </row>
    <row r="66" spans="1:13" ht="15.75" thickBot="1" x14ac:dyDescent="0.3">
      <c r="A66" s="93" t="s">
        <v>369</v>
      </c>
      <c r="B66" s="8">
        <v>660</v>
      </c>
      <c r="C66" s="73">
        <v>0</v>
      </c>
      <c r="D66" s="8">
        <v>220</v>
      </c>
      <c r="E66" s="8">
        <v>220</v>
      </c>
      <c r="F66" s="8">
        <v>190</v>
      </c>
      <c r="G66" s="8">
        <v>350</v>
      </c>
      <c r="H66" s="8">
        <v>55</v>
      </c>
      <c r="I66" s="73">
        <v>0.33</v>
      </c>
      <c r="J66" s="73">
        <v>0.33</v>
      </c>
      <c r="K66" s="73">
        <v>0.28999999999999998</v>
      </c>
      <c r="L66" s="73">
        <v>0.53</v>
      </c>
      <c r="M66" s="73">
        <v>0.08</v>
      </c>
    </row>
    <row r="67" spans="1:13" ht="15.75" thickBot="1" x14ac:dyDescent="0.3">
      <c r="A67" s="93" t="s">
        <v>370</v>
      </c>
      <c r="B67" s="8">
        <v>35</v>
      </c>
      <c r="C67" s="73">
        <v>0</v>
      </c>
      <c r="D67" s="8">
        <v>35</v>
      </c>
      <c r="E67" s="8">
        <v>0</v>
      </c>
      <c r="F67" s="8">
        <v>0</v>
      </c>
      <c r="G67" s="8">
        <v>0</v>
      </c>
      <c r="H67" s="8" t="s">
        <v>449</v>
      </c>
      <c r="I67" s="73" t="s">
        <v>449</v>
      </c>
      <c r="J67" s="73">
        <v>0</v>
      </c>
      <c r="K67" s="73">
        <v>0</v>
      </c>
      <c r="L67" s="73">
        <v>0</v>
      </c>
      <c r="M67" s="73" t="s">
        <v>449</v>
      </c>
    </row>
    <row r="68" spans="1:13" ht="15.75" thickBot="1" x14ac:dyDescent="0.3">
      <c r="A68" s="93" t="s">
        <v>371</v>
      </c>
      <c r="B68" s="8">
        <v>245</v>
      </c>
      <c r="C68" s="73">
        <v>0</v>
      </c>
      <c r="D68" s="8">
        <v>70</v>
      </c>
      <c r="E68" s="8">
        <v>120</v>
      </c>
      <c r="F68" s="8">
        <v>65</v>
      </c>
      <c r="G68" s="8">
        <v>105</v>
      </c>
      <c r="H68" s="8">
        <v>15</v>
      </c>
      <c r="I68" s="73">
        <v>0.28000000000000003</v>
      </c>
      <c r="J68" s="73">
        <v>0.48</v>
      </c>
      <c r="K68" s="73">
        <v>0.26</v>
      </c>
      <c r="L68" s="73">
        <v>0.43</v>
      </c>
      <c r="M68" s="73">
        <v>0.06</v>
      </c>
    </row>
    <row r="69" spans="1:13" ht="15.75" thickBot="1" x14ac:dyDescent="0.3">
      <c r="A69" s="93" t="s">
        <v>372</v>
      </c>
      <c r="B69" s="8">
        <v>235</v>
      </c>
      <c r="C69" s="73">
        <v>0</v>
      </c>
      <c r="D69" s="8">
        <v>60</v>
      </c>
      <c r="E69" s="8">
        <v>80</v>
      </c>
      <c r="F69" s="8">
        <v>70</v>
      </c>
      <c r="G69" s="8">
        <v>160</v>
      </c>
      <c r="H69" s="8">
        <v>30</v>
      </c>
      <c r="I69" s="73">
        <v>0.26</v>
      </c>
      <c r="J69" s="73">
        <v>0.34</v>
      </c>
      <c r="K69" s="73">
        <v>0.28999999999999998</v>
      </c>
      <c r="L69" s="73">
        <v>0.67</v>
      </c>
      <c r="M69" s="73">
        <v>0.12</v>
      </c>
    </row>
    <row r="70" spans="1:13" ht="15.75" thickBot="1" x14ac:dyDescent="0.3">
      <c r="A70" s="93" t="s">
        <v>373</v>
      </c>
      <c r="B70" s="8">
        <v>115</v>
      </c>
      <c r="C70" s="73">
        <v>0</v>
      </c>
      <c r="D70" s="8">
        <v>40</v>
      </c>
      <c r="E70" s="8">
        <v>35</v>
      </c>
      <c r="F70" s="8">
        <v>40</v>
      </c>
      <c r="G70" s="8">
        <v>75</v>
      </c>
      <c r="H70" s="8">
        <v>10</v>
      </c>
      <c r="I70" s="73">
        <v>0.34</v>
      </c>
      <c r="J70" s="73">
        <v>0.31</v>
      </c>
      <c r="K70" s="73">
        <v>0.33</v>
      </c>
      <c r="L70" s="73">
        <v>0.67</v>
      </c>
      <c r="M70" s="73">
        <v>0.09</v>
      </c>
    </row>
    <row r="71" spans="1:13" ht="15.75" thickBot="1" x14ac:dyDescent="0.3">
      <c r="A71" s="93" t="s">
        <v>374</v>
      </c>
      <c r="B71" s="8">
        <v>635</v>
      </c>
      <c r="C71" s="73">
        <v>0</v>
      </c>
      <c r="D71" s="8">
        <v>205</v>
      </c>
      <c r="E71" s="8">
        <v>235</v>
      </c>
      <c r="F71" s="8">
        <v>170</v>
      </c>
      <c r="G71" s="8">
        <v>340</v>
      </c>
      <c r="H71" s="8">
        <v>55</v>
      </c>
      <c r="I71" s="73">
        <v>0.32</v>
      </c>
      <c r="J71" s="73">
        <v>0.37</v>
      </c>
      <c r="K71" s="73">
        <v>0.27</v>
      </c>
      <c r="L71" s="73">
        <v>0.54</v>
      </c>
      <c r="M71" s="73">
        <v>0.09</v>
      </c>
    </row>
    <row r="72" spans="1:13" ht="15.75" thickBot="1" x14ac:dyDescent="0.3">
      <c r="A72" s="93" t="s">
        <v>375</v>
      </c>
      <c r="B72" s="8">
        <v>1355</v>
      </c>
      <c r="C72" s="73">
        <v>7.0000000000000007E-2</v>
      </c>
      <c r="D72" s="8">
        <v>1320</v>
      </c>
      <c r="E72" s="8">
        <v>0</v>
      </c>
      <c r="F72" s="8">
        <v>0</v>
      </c>
      <c r="G72" s="8">
        <v>0</v>
      </c>
      <c r="H72" s="8">
        <v>35</v>
      </c>
      <c r="I72" s="73">
        <v>0.97</v>
      </c>
      <c r="J72" s="73">
        <v>0</v>
      </c>
      <c r="K72" s="73">
        <v>0</v>
      </c>
      <c r="L72" s="73">
        <v>0</v>
      </c>
      <c r="M72" s="73">
        <v>0.03</v>
      </c>
    </row>
    <row r="73" spans="1:13" ht="15.75" thickBot="1" x14ac:dyDescent="0.3">
      <c r="A73" s="93" t="s">
        <v>376</v>
      </c>
      <c r="B73" s="8">
        <v>9085</v>
      </c>
      <c r="C73" s="73">
        <v>7.0000000000000007E-2</v>
      </c>
      <c r="D73" s="8">
        <v>2385</v>
      </c>
      <c r="E73" s="8">
        <v>3655</v>
      </c>
      <c r="F73" s="8">
        <v>2070</v>
      </c>
      <c r="G73" s="8">
        <v>3920</v>
      </c>
      <c r="H73" s="8">
        <v>1065</v>
      </c>
      <c r="I73" s="73">
        <v>0.26</v>
      </c>
      <c r="J73" s="73">
        <v>0.4</v>
      </c>
      <c r="K73" s="73">
        <v>0.23</v>
      </c>
      <c r="L73" s="73">
        <v>0.43</v>
      </c>
      <c r="M73" s="73">
        <v>0.12</v>
      </c>
    </row>
    <row r="74" spans="1:13" ht="15.75" thickBot="1" x14ac:dyDescent="0.3">
      <c r="A74" s="93" t="s">
        <v>377</v>
      </c>
      <c r="B74" s="8">
        <v>8505</v>
      </c>
      <c r="C74" s="73">
        <v>7.0000000000000007E-2</v>
      </c>
      <c r="D74" s="8">
        <v>2380</v>
      </c>
      <c r="E74" s="8">
        <v>2760</v>
      </c>
      <c r="F74" s="8">
        <v>2495</v>
      </c>
      <c r="G74" s="8">
        <v>5590</v>
      </c>
      <c r="H74" s="8">
        <v>965</v>
      </c>
      <c r="I74" s="73">
        <v>0.28000000000000003</v>
      </c>
      <c r="J74" s="73">
        <v>0.32</v>
      </c>
      <c r="K74" s="73">
        <v>0.28999999999999998</v>
      </c>
      <c r="L74" s="73">
        <v>0.66</v>
      </c>
      <c r="M74" s="73">
        <v>0.11</v>
      </c>
    </row>
    <row r="75" spans="1:13" ht="15.75" thickBot="1" x14ac:dyDescent="0.3">
      <c r="A75" s="93" t="s">
        <v>378</v>
      </c>
      <c r="B75" s="8">
        <v>4205</v>
      </c>
      <c r="C75" s="73">
        <v>7.0000000000000007E-2</v>
      </c>
      <c r="D75" s="8">
        <v>1525</v>
      </c>
      <c r="E75" s="8">
        <v>1295</v>
      </c>
      <c r="F75" s="8">
        <v>1455</v>
      </c>
      <c r="G75" s="8">
        <v>2880</v>
      </c>
      <c r="H75" s="8">
        <v>260</v>
      </c>
      <c r="I75" s="73">
        <v>0.36</v>
      </c>
      <c r="J75" s="73">
        <v>0.31</v>
      </c>
      <c r="K75" s="73">
        <v>0.35</v>
      </c>
      <c r="L75" s="73">
        <v>0.69</v>
      </c>
      <c r="M75" s="73">
        <v>0.06</v>
      </c>
    </row>
    <row r="76" spans="1:13" ht="15.75" thickBot="1" x14ac:dyDescent="0.3">
      <c r="A76" s="93" t="s">
        <v>379</v>
      </c>
      <c r="B76" s="8">
        <v>23150</v>
      </c>
      <c r="C76" s="73">
        <v>7.0000000000000007E-2</v>
      </c>
      <c r="D76" s="8">
        <v>7610</v>
      </c>
      <c r="E76" s="8">
        <v>7705</v>
      </c>
      <c r="F76" s="8">
        <v>6020</v>
      </c>
      <c r="G76" s="8">
        <v>12390</v>
      </c>
      <c r="H76" s="8">
        <v>2330</v>
      </c>
      <c r="I76" s="73">
        <v>0.33</v>
      </c>
      <c r="J76" s="73">
        <v>0.33</v>
      </c>
      <c r="K76" s="73">
        <v>0.26</v>
      </c>
      <c r="L76" s="73">
        <v>0.54</v>
      </c>
      <c r="M76" s="73">
        <v>0.1</v>
      </c>
    </row>
    <row r="77" spans="1:13" ht="15.75" thickBot="1" x14ac:dyDescent="0.3">
      <c r="A77" s="93" t="s">
        <v>197</v>
      </c>
      <c r="B77" s="8">
        <v>19480</v>
      </c>
      <c r="C77" s="73">
        <v>1</v>
      </c>
      <c r="D77" s="8">
        <v>18770</v>
      </c>
      <c r="E77" s="8">
        <v>0</v>
      </c>
      <c r="F77" s="8">
        <v>0</v>
      </c>
      <c r="G77" s="8">
        <v>0</v>
      </c>
      <c r="H77" s="8">
        <v>705</v>
      </c>
      <c r="I77" s="73">
        <v>0.96</v>
      </c>
      <c r="J77" s="73">
        <v>0</v>
      </c>
      <c r="K77" s="73">
        <v>0</v>
      </c>
      <c r="L77" s="73">
        <v>0</v>
      </c>
      <c r="M77" s="73">
        <v>0.04</v>
      </c>
    </row>
    <row r="78" spans="1:13" ht="15.75" thickBot="1" x14ac:dyDescent="0.3">
      <c r="A78" s="93" t="s">
        <v>198</v>
      </c>
      <c r="B78" s="8">
        <v>128070</v>
      </c>
      <c r="C78" s="73">
        <v>1</v>
      </c>
      <c r="D78" s="8">
        <v>35225</v>
      </c>
      <c r="E78" s="8">
        <v>49275</v>
      </c>
      <c r="F78" s="8">
        <v>27285</v>
      </c>
      <c r="G78" s="8">
        <v>54705</v>
      </c>
      <c r="H78" s="8">
        <v>16100</v>
      </c>
      <c r="I78" s="73">
        <v>0.28000000000000003</v>
      </c>
      <c r="J78" s="73">
        <v>0.38</v>
      </c>
      <c r="K78" s="73">
        <v>0.21</v>
      </c>
      <c r="L78" s="73">
        <v>0.43</v>
      </c>
      <c r="M78" s="73">
        <v>0.13</v>
      </c>
    </row>
    <row r="79" spans="1:13" ht="15.75" thickBot="1" x14ac:dyDescent="0.3">
      <c r="A79" s="93" t="s">
        <v>199</v>
      </c>
      <c r="B79" s="8">
        <v>118600</v>
      </c>
      <c r="C79" s="73">
        <v>1</v>
      </c>
      <c r="D79" s="8">
        <v>34035</v>
      </c>
      <c r="E79" s="8">
        <v>38475</v>
      </c>
      <c r="F79" s="8">
        <v>33155</v>
      </c>
      <c r="G79" s="8">
        <v>77300</v>
      </c>
      <c r="H79" s="8">
        <v>14300</v>
      </c>
      <c r="I79" s="73">
        <v>0.28999999999999998</v>
      </c>
      <c r="J79" s="73">
        <v>0.32</v>
      </c>
      <c r="K79" s="73">
        <v>0.28000000000000003</v>
      </c>
      <c r="L79" s="73">
        <v>0.65</v>
      </c>
      <c r="M79" s="73">
        <v>0.12</v>
      </c>
    </row>
    <row r="80" spans="1:13" ht="15.75" thickBot="1" x14ac:dyDescent="0.3">
      <c r="A80" s="93" t="s">
        <v>200</v>
      </c>
      <c r="B80" s="8">
        <v>57760</v>
      </c>
      <c r="C80" s="73">
        <v>1</v>
      </c>
      <c r="D80" s="8">
        <v>21185</v>
      </c>
      <c r="E80" s="8">
        <v>17290</v>
      </c>
      <c r="F80" s="8">
        <v>19830</v>
      </c>
      <c r="G80" s="8">
        <v>38830</v>
      </c>
      <c r="H80" s="8">
        <v>4185</v>
      </c>
      <c r="I80" s="73">
        <v>0.37</v>
      </c>
      <c r="J80" s="73">
        <v>0.3</v>
      </c>
      <c r="K80" s="73">
        <v>0.34</v>
      </c>
      <c r="L80" s="73">
        <v>0.67</v>
      </c>
      <c r="M80" s="73">
        <v>7.0000000000000007E-2</v>
      </c>
    </row>
    <row r="81" spans="1:13" ht="15.75" thickBot="1" x14ac:dyDescent="0.3">
      <c r="A81" s="93" t="s">
        <v>254</v>
      </c>
      <c r="B81" s="8">
        <v>323915</v>
      </c>
      <c r="C81" s="73">
        <v>1</v>
      </c>
      <c r="D81" s="8">
        <v>109220</v>
      </c>
      <c r="E81" s="8">
        <v>105040</v>
      </c>
      <c r="F81" s="8">
        <v>80270</v>
      </c>
      <c r="G81" s="8">
        <v>170840</v>
      </c>
      <c r="H81" s="8">
        <v>35295</v>
      </c>
      <c r="I81" s="73">
        <v>0.34</v>
      </c>
      <c r="J81" s="73">
        <v>0.32</v>
      </c>
      <c r="K81" s="73">
        <v>0.25</v>
      </c>
      <c r="L81" s="73">
        <v>0.53</v>
      </c>
      <c r="M81" s="73">
        <v>0.11</v>
      </c>
    </row>
    <row r="82" spans="1:13" ht="30.75" thickBot="1" x14ac:dyDescent="0.3">
      <c r="A82" s="93" t="s">
        <v>214</v>
      </c>
      <c r="B82" s="8">
        <v>35</v>
      </c>
      <c r="C82" s="73">
        <v>0</v>
      </c>
      <c r="D82" s="8">
        <v>30</v>
      </c>
      <c r="E82" s="8">
        <v>0</v>
      </c>
      <c r="F82" s="8">
        <v>0</v>
      </c>
      <c r="G82" s="8">
        <v>0</v>
      </c>
      <c r="H82" s="8">
        <v>5</v>
      </c>
      <c r="I82" s="73">
        <v>0.88</v>
      </c>
      <c r="J82" s="73">
        <v>0</v>
      </c>
      <c r="K82" s="73">
        <v>0</v>
      </c>
      <c r="L82" s="73">
        <v>0</v>
      </c>
      <c r="M82" s="8">
        <v>0.12</v>
      </c>
    </row>
    <row r="83" spans="1:13" ht="30.75" thickBot="1" x14ac:dyDescent="0.3">
      <c r="A83" s="93" t="s">
        <v>215</v>
      </c>
      <c r="B83" s="8">
        <v>220</v>
      </c>
      <c r="C83" s="73">
        <v>0</v>
      </c>
      <c r="D83" s="8">
        <v>95</v>
      </c>
      <c r="E83" s="8">
        <v>100</v>
      </c>
      <c r="F83" s="8">
        <v>20</v>
      </c>
      <c r="G83" s="8">
        <v>120</v>
      </c>
      <c r="H83" s="8">
        <v>15</v>
      </c>
      <c r="I83" s="73">
        <v>0.44</v>
      </c>
      <c r="J83" s="73">
        <v>0.46</v>
      </c>
      <c r="K83" s="73">
        <v>0.1</v>
      </c>
      <c r="L83" s="73">
        <v>0.54</v>
      </c>
      <c r="M83" s="73">
        <v>7.0000000000000007E-2</v>
      </c>
    </row>
    <row r="84" spans="1:13" ht="30.75" thickBot="1" x14ac:dyDescent="0.3">
      <c r="A84" s="93" t="s">
        <v>216</v>
      </c>
      <c r="B84" s="8">
        <v>225</v>
      </c>
      <c r="C84" s="73">
        <v>0</v>
      </c>
      <c r="D84" s="8">
        <v>75</v>
      </c>
      <c r="E84" s="8">
        <v>85</v>
      </c>
      <c r="F84" s="8">
        <v>35</v>
      </c>
      <c r="G84" s="8">
        <v>170</v>
      </c>
      <c r="H84" s="8">
        <v>20</v>
      </c>
      <c r="I84" s="73">
        <v>0.35</v>
      </c>
      <c r="J84" s="73">
        <v>0.37</v>
      </c>
      <c r="K84" s="73">
        <v>0.16</v>
      </c>
      <c r="L84" s="73">
        <v>0.77</v>
      </c>
      <c r="M84" s="73">
        <v>0.08</v>
      </c>
    </row>
    <row r="85" spans="1:13" ht="30.75" thickBot="1" x14ac:dyDescent="0.3">
      <c r="A85" s="93" t="s">
        <v>217</v>
      </c>
      <c r="B85" s="8">
        <v>170</v>
      </c>
      <c r="C85" s="73">
        <v>0</v>
      </c>
      <c r="D85" s="8">
        <v>70</v>
      </c>
      <c r="E85" s="8">
        <v>55</v>
      </c>
      <c r="F85" s="8">
        <v>40</v>
      </c>
      <c r="G85" s="8">
        <v>130</v>
      </c>
      <c r="H85" s="8">
        <v>10</v>
      </c>
      <c r="I85" s="73">
        <v>0.41</v>
      </c>
      <c r="J85" s="73">
        <v>0.33</v>
      </c>
      <c r="K85" s="73">
        <v>0.22</v>
      </c>
      <c r="L85" s="73">
        <v>0.77</v>
      </c>
      <c r="M85" s="73">
        <v>0.06</v>
      </c>
    </row>
    <row r="86" spans="1:13" ht="15.75" thickBot="1" x14ac:dyDescent="0.3">
      <c r="A86" s="93" t="s">
        <v>258</v>
      </c>
      <c r="B86" s="8">
        <v>650</v>
      </c>
      <c r="C86" s="73">
        <v>0</v>
      </c>
      <c r="D86" s="8">
        <v>275</v>
      </c>
      <c r="E86" s="8">
        <v>240</v>
      </c>
      <c r="F86" s="8">
        <v>95</v>
      </c>
      <c r="G86" s="8">
        <v>420</v>
      </c>
      <c r="H86" s="8">
        <v>45</v>
      </c>
      <c r="I86" s="73">
        <v>0.42</v>
      </c>
      <c r="J86" s="73">
        <v>0.37</v>
      </c>
      <c r="K86" s="73">
        <v>0.15</v>
      </c>
      <c r="L86" s="73">
        <v>0.65</v>
      </c>
      <c r="M86" s="73">
        <v>7.0000000000000007E-2</v>
      </c>
    </row>
    <row r="87" spans="1:13" ht="15.75" thickBot="1" x14ac:dyDescent="0.3">
      <c r="A87" s="93" t="s">
        <v>385</v>
      </c>
      <c r="B87" s="8">
        <v>55</v>
      </c>
      <c r="C87" s="73">
        <v>0</v>
      </c>
      <c r="D87" s="8">
        <v>55</v>
      </c>
      <c r="E87" s="8">
        <v>0</v>
      </c>
      <c r="F87" s="8">
        <v>0</v>
      </c>
      <c r="G87" s="8">
        <v>0</v>
      </c>
      <c r="H87" s="8">
        <v>0</v>
      </c>
      <c r="I87" s="73">
        <v>1</v>
      </c>
      <c r="J87" s="73">
        <v>0</v>
      </c>
      <c r="K87" s="73">
        <v>0</v>
      </c>
      <c r="L87" s="73">
        <v>0</v>
      </c>
      <c r="M87" s="8">
        <v>0</v>
      </c>
    </row>
    <row r="88" spans="1:13" ht="15.75" thickBot="1" x14ac:dyDescent="0.3">
      <c r="A88" s="93" t="s">
        <v>386</v>
      </c>
      <c r="B88" s="8">
        <v>345</v>
      </c>
      <c r="C88" s="73">
        <v>0</v>
      </c>
      <c r="D88" s="8">
        <v>110</v>
      </c>
      <c r="E88" s="8">
        <v>140</v>
      </c>
      <c r="F88" s="8">
        <v>75</v>
      </c>
      <c r="G88" s="8">
        <v>135</v>
      </c>
      <c r="H88" s="8">
        <v>40</v>
      </c>
      <c r="I88" s="73">
        <v>0.32</v>
      </c>
      <c r="J88" s="73">
        <v>0.4</v>
      </c>
      <c r="K88" s="73">
        <v>0.21</v>
      </c>
      <c r="L88" s="73">
        <v>0.4</v>
      </c>
      <c r="M88" s="73">
        <v>0.12</v>
      </c>
    </row>
    <row r="89" spans="1:13" ht="15.75" thickBot="1" x14ac:dyDescent="0.3">
      <c r="A89" s="93" t="s">
        <v>387</v>
      </c>
      <c r="B89" s="8">
        <v>370</v>
      </c>
      <c r="C89" s="73">
        <v>0</v>
      </c>
      <c r="D89" s="8">
        <v>110</v>
      </c>
      <c r="E89" s="8">
        <v>125</v>
      </c>
      <c r="F89" s="8">
        <v>105</v>
      </c>
      <c r="G89" s="8">
        <v>245</v>
      </c>
      <c r="H89" s="8">
        <v>45</v>
      </c>
      <c r="I89" s="73">
        <v>0.3</v>
      </c>
      <c r="J89" s="73">
        <v>0.34</v>
      </c>
      <c r="K89" s="73">
        <v>0.28000000000000003</v>
      </c>
      <c r="L89" s="73">
        <v>0.67</v>
      </c>
      <c r="M89" s="73">
        <v>0.12</v>
      </c>
    </row>
    <row r="90" spans="1:13" ht="15.75" thickBot="1" x14ac:dyDescent="0.3">
      <c r="A90" s="93" t="s">
        <v>388</v>
      </c>
      <c r="B90" s="8">
        <v>150</v>
      </c>
      <c r="C90" s="73">
        <v>0</v>
      </c>
      <c r="D90" s="8">
        <v>45</v>
      </c>
      <c r="E90" s="8">
        <v>50</v>
      </c>
      <c r="F90" s="8">
        <v>60</v>
      </c>
      <c r="G90" s="8">
        <v>100</v>
      </c>
      <c r="H90" s="8">
        <v>5</v>
      </c>
      <c r="I90" s="73">
        <v>0.28999999999999998</v>
      </c>
      <c r="J90" s="73">
        <v>0.33</v>
      </c>
      <c r="K90" s="73">
        <v>0.39</v>
      </c>
      <c r="L90" s="73">
        <v>0.67</v>
      </c>
      <c r="M90" s="73">
        <v>0.04</v>
      </c>
    </row>
    <row r="91" spans="1:13" x14ac:dyDescent="0.25">
      <c r="A91" s="94" t="s">
        <v>389</v>
      </c>
      <c r="B91" s="8">
        <v>925</v>
      </c>
      <c r="C91" s="73">
        <v>0</v>
      </c>
      <c r="D91" s="8">
        <v>325</v>
      </c>
      <c r="E91" s="8">
        <v>315</v>
      </c>
      <c r="F91" s="8">
        <v>240</v>
      </c>
      <c r="G91" s="8">
        <v>485</v>
      </c>
      <c r="H91" s="8">
        <v>95</v>
      </c>
      <c r="I91" s="73">
        <v>0.35</v>
      </c>
      <c r="J91" s="73">
        <v>0.34</v>
      </c>
      <c r="K91" s="73">
        <v>0.26</v>
      </c>
      <c r="L91" s="73">
        <v>0.53</v>
      </c>
      <c r="M91" s="73">
        <v>0.1</v>
      </c>
    </row>
  </sheetData>
  <sheetProtection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1"/>
  <sheetViews>
    <sheetView zoomScale="75" zoomScaleNormal="75" workbookViewId="0"/>
  </sheetViews>
  <sheetFormatPr defaultRowHeight="15" x14ac:dyDescent="0.25"/>
  <cols>
    <col min="1" max="10" width="17.28515625" customWidth="1"/>
  </cols>
  <sheetData>
    <row r="1" spans="1:10" ht="78.75" x14ac:dyDescent="0.25">
      <c r="A1" s="108" t="s">
        <v>739</v>
      </c>
      <c r="B1" s="108" t="s">
        <v>736</v>
      </c>
      <c r="C1" s="108" t="s">
        <v>319</v>
      </c>
      <c r="D1" s="108" t="s">
        <v>70</v>
      </c>
      <c r="E1" s="108" t="s">
        <v>451</v>
      </c>
      <c r="F1" s="108" t="s">
        <v>740</v>
      </c>
      <c r="G1" s="108" t="s">
        <v>71</v>
      </c>
      <c r="H1" s="108" t="s">
        <v>315</v>
      </c>
      <c r="I1" s="108" t="s">
        <v>316</v>
      </c>
      <c r="J1" s="109" t="s">
        <v>317</v>
      </c>
    </row>
    <row r="2" spans="1:10" ht="30.75" thickBot="1" x14ac:dyDescent="0.3">
      <c r="A2" s="93" t="s">
        <v>474</v>
      </c>
      <c r="B2" s="190">
        <v>8575</v>
      </c>
      <c r="C2" s="191">
        <v>0.46</v>
      </c>
      <c r="D2" s="190">
        <v>7925</v>
      </c>
      <c r="E2" s="190">
        <v>3190</v>
      </c>
      <c r="F2" s="190">
        <v>4595</v>
      </c>
      <c r="G2" s="190">
        <v>145</v>
      </c>
      <c r="H2" s="191">
        <v>0.4</v>
      </c>
      <c r="I2" s="191">
        <v>0.57999999999999996</v>
      </c>
      <c r="J2" s="191">
        <v>0.02</v>
      </c>
    </row>
    <row r="3" spans="1:10" ht="30.75" thickBot="1" x14ac:dyDescent="0.3">
      <c r="A3" s="93" t="s">
        <v>475</v>
      </c>
      <c r="B3" s="190">
        <v>16125</v>
      </c>
      <c r="C3" s="191">
        <v>0.46</v>
      </c>
      <c r="D3" s="190">
        <v>15020</v>
      </c>
      <c r="E3" s="190">
        <v>5450</v>
      </c>
      <c r="F3" s="190">
        <v>8450</v>
      </c>
      <c r="G3" s="190">
        <v>1120</v>
      </c>
      <c r="H3" s="191">
        <v>0.36</v>
      </c>
      <c r="I3" s="191">
        <v>0.56000000000000005</v>
      </c>
      <c r="J3" s="191">
        <v>7.0000000000000007E-2</v>
      </c>
    </row>
    <row r="4" spans="1:10" ht="30.75" thickBot="1" x14ac:dyDescent="0.3">
      <c r="A4" s="93" t="s">
        <v>476</v>
      </c>
      <c r="B4" s="190">
        <v>13880</v>
      </c>
      <c r="C4" s="191">
        <v>0.41</v>
      </c>
      <c r="D4" s="190">
        <v>13420</v>
      </c>
      <c r="E4" s="190">
        <v>5790</v>
      </c>
      <c r="F4" s="190">
        <v>7265</v>
      </c>
      <c r="G4" s="190">
        <v>360</v>
      </c>
      <c r="H4" s="191">
        <v>0.43</v>
      </c>
      <c r="I4" s="191">
        <v>0.54</v>
      </c>
      <c r="J4" s="191">
        <v>0.03</v>
      </c>
    </row>
    <row r="5" spans="1:10" ht="30.75" thickBot="1" x14ac:dyDescent="0.3">
      <c r="A5" s="93" t="s">
        <v>477</v>
      </c>
      <c r="B5" s="190">
        <v>8210</v>
      </c>
      <c r="C5" s="191">
        <v>0.39</v>
      </c>
      <c r="D5" s="190">
        <v>8465</v>
      </c>
      <c r="E5" s="190">
        <v>3605</v>
      </c>
      <c r="F5" s="190">
        <v>4605</v>
      </c>
      <c r="G5" s="190">
        <v>255</v>
      </c>
      <c r="H5" s="191">
        <v>0.43</v>
      </c>
      <c r="I5" s="191">
        <v>0.54</v>
      </c>
      <c r="J5" s="191">
        <v>0.03</v>
      </c>
    </row>
    <row r="6" spans="1:10" ht="15.75" thickBot="1" x14ac:dyDescent="0.3">
      <c r="A6" s="93" t="s">
        <v>478</v>
      </c>
      <c r="B6" s="190">
        <v>46790</v>
      </c>
      <c r="C6" s="191">
        <v>0.43</v>
      </c>
      <c r="D6" s="190">
        <v>44830</v>
      </c>
      <c r="E6" s="190">
        <v>18035</v>
      </c>
      <c r="F6" s="190">
        <v>24915</v>
      </c>
      <c r="G6" s="190">
        <v>1875</v>
      </c>
      <c r="H6" s="191">
        <v>0.4</v>
      </c>
      <c r="I6" s="191">
        <v>0.56000000000000005</v>
      </c>
      <c r="J6" s="191">
        <v>0.04</v>
      </c>
    </row>
    <row r="7" spans="1:10" ht="30.75" thickBot="1" x14ac:dyDescent="0.3">
      <c r="A7" s="93" t="s">
        <v>479</v>
      </c>
      <c r="B7" s="190">
        <v>10200</v>
      </c>
      <c r="C7" s="191">
        <v>0.54</v>
      </c>
      <c r="D7" s="190">
        <v>9610</v>
      </c>
      <c r="E7" s="190">
        <v>8130</v>
      </c>
      <c r="F7" s="190">
        <v>1400</v>
      </c>
      <c r="G7" s="190">
        <v>80</v>
      </c>
      <c r="H7" s="191">
        <v>0.85</v>
      </c>
      <c r="I7" s="191">
        <v>0.15</v>
      </c>
      <c r="J7" s="191">
        <v>0.01</v>
      </c>
    </row>
    <row r="8" spans="1:10" ht="30.75" thickBot="1" x14ac:dyDescent="0.3">
      <c r="A8" s="93" t="s">
        <v>480</v>
      </c>
      <c r="B8" s="190">
        <v>19100</v>
      </c>
      <c r="C8" s="191">
        <v>0.54</v>
      </c>
      <c r="D8" s="190">
        <v>17740</v>
      </c>
      <c r="E8" s="190">
        <v>10040</v>
      </c>
      <c r="F8" s="190">
        <v>6855</v>
      </c>
      <c r="G8" s="190">
        <v>845</v>
      </c>
      <c r="H8" s="191">
        <v>0.56999999999999995</v>
      </c>
      <c r="I8" s="191">
        <v>0.39</v>
      </c>
      <c r="J8" s="191">
        <v>0.05</v>
      </c>
    </row>
    <row r="9" spans="1:10" ht="30.75" thickBot="1" x14ac:dyDescent="0.3">
      <c r="A9" s="93" t="s">
        <v>481</v>
      </c>
      <c r="B9" s="190">
        <v>20155</v>
      </c>
      <c r="C9" s="191">
        <v>0.59</v>
      </c>
      <c r="D9" s="190">
        <v>19110</v>
      </c>
      <c r="E9" s="190">
        <v>10595</v>
      </c>
      <c r="F9" s="190">
        <v>8265</v>
      </c>
      <c r="G9" s="190">
        <v>250</v>
      </c>
      <c r="H9" s="191">
        <v>0.55000000000000004</v>
      </c>
      <c r="I9" s="191">
        <v>0.43</v>
      </c>
      <c r="J9" s="191">
        <v>0.01</v>
      </c>
    </row>
    <row r="10" spans="1:10" ht="30.75" thickBot="1" x14ac:dyDescent="0.3">
      <c r="A10" s="93" t="s">
        <v>482</v>
      </c>
      <c r="B10" s="190">
        <v>12975</v>
      </c>
      <c r="C10" s="191">
        <v>0.61</v>
      </c>
      <c r="D10" s="190">
        <v>13675</v>
      </c>
      <c r="E10" s="190">
        <v>7160</v>
      </c>
      <c r="F10" s="190">
        <v>6320</v>
      </c>
      <c r="G10" s="190">
        <v>190</v>
      </c>
      <c r="H10" s="191">
        <v>0.52</v>
      </c>
      <c r="I10" s="191">
        <v>0.46</v>
      </c>
      <c r="J10" s="191">
        <v>0.01</v>
      </c>
    </row>
    <row r="11" spans="1:10" ht="30.75" thickBot="1" x14ac:dyDescent="0.3">
      <c r="A11" s="93" t="s">
        <v>483</v>
      </c>
      <c r="B11" s="190">
        <v>62430</v>
      </c>
      <c r="C11" s="191">
        <v>0.56999999999999995</v>
      </c>
      <c r="D11" s="190">
        <v>60130</v>
      </c>
      <c r="E11" s="190">
        <v>35925</v>
      </c>
      <c r="F11" s="190">
        <v>22840</v>
      </c>
      <c r="G11" s="190">
        <v>1370</v>
      </c>
      <c r="H11" s="191">
        <v>0.6</v>
      </c>
      <c r="I11" s="191">
        <v>0.38</v>
      </c>
      <c r="J11" s="191">
        <v>0.02</v>
      </c>
    </row>
    <row r="12" spans="1:10" ht="60.75" thickBot="1" x14ac:dyDescent="0.3">
      <c r="A12" s="93" t="s">
        <v>490</v>
      </c>
      <c r="B12" s="190">
        <v>18770</v>
      </c>
      <c r="C12" s="191">
        <v>1</v>
      </c>
      <c r="D12" s="190">
        <v>17535</v>
      </c>
      <c r="E12" s="190">
        <v>11320</v>
      </c>
      <c r="F12" s="190">
        <v>5995</v>
      </c>
      <c r="G12" s="190">
        <v>225</v>
      </c>
      <c r="H12" s="191">
        <v>0.65</v>
      </c>
      <c r="I12" s="191">
        <v>0.34</v>
      </c>
      <c r="J12" s="191">
        <v>0.01</v>
      </c>
    </row>
    <row r="13" spans="1:10" ht="60.75" thickBot="1" x14ac:dyDescent="0.3">
      <c r="A13" s="93" t="s">
        <v>491</v>
      </c>
      <c r="B13" s="190">
        <v>35225</v>
      </c>
      <c r="C13" s="191">
        <v>1</v>
      </c>
      <c r="D13" s="190">
        <v>32760</v>
      </c>
      <c r="E13" s="190">
        <v>15490</v>
      </c>
      <c r="F13" s="190">
        <v>15305</v>
      </c>
      <c r="G13" s="190">
        <v>1965</v>
      </c>
      <c r="H13" s="191">
        <v>0.47</v>
      </c>
      <c r="I13" s="191">
        <v>0.47</v>
      </c>
      <c r="J13" s="191">
        <v>0.06</v>
      </c>
    </row>
    <row r="14" spans="1:10" ht="60.75" thickBot="1" x14ac:dyDescent="0.3">
      <c r="A14" s="93" t="s">
        <v>492</v>
      </c>
      <c r="B14" s="190">
        <v>34035</v>
      </c>
      <c r="C14" s="191">
        <v>1</v>
      </c>
      <c r="D14" s="190">
        <v>32525</v>
      </c>
      <c r="E14" s="190">
        <v>16385</v>
      </c>
      <c r="F14" s="190">
        <v>15530</v>
      </c>
      <c r="G14" s="190">
        <v>610</v>
      </c>
      <c r="H14" s="191">
        <v>0.5</v>
      </c>
      <c r="I14" s="191">
        <v>0.48</v>
      </c>
      <c r="J14" s="191">
        <v>0.02</v>
      </c>
    </row>
    <row r="15" spans="1:10" ht="60.75" thickBot="1" x14ac:dyDescent="0.3">
      <c r="A15" s="93" t="s">
        <v>493</v>
      </c>
      <c r="B15" s="190">
        <v>21185</v>
      </c>
      <c r="C15" s="191">
        <v>1</v>
      </c>
      <c r="D15" s="190">
        <v>22135</v>
      </c>
      <c r="E15" s="190">
        <v>10765</v>
      </c>
      <c r="F15" s="190">
        <v>10925</v>
      </c>
      <c r="G15" s="190">
        <v>445</v>
      </c>
      <c r="H15" s="191">
        <v>0.49</v>
      </c>
      <c r="I15" s="191">
        <v>0.49</v>
      </c>
      <c r="J15" s="191">
        <v>0.02</v>
      </c>
    </row>
    <row r="16" spans="1:10" ht="60.75" thickBot="1" x14ac:dyDescent="0.3">
      <c r="A16" s="93" t="s">
        <v>494</v>
      </c>
      <c r="B16" s="190">
        <v>109220</v>
      </c>
      <c r="C16" s="191">
        <v>1</v>
      </c>
      <c r="D16" s="190">
        <v>104960</v>
      </c>
      <c r="E16" s="190">
        <v>53960</v>
      </c>
      <c r="F16" s="190">
        <v>47755</v>
      </c>
      <c r="G16" s="190">
        <v>3245</v>
      </c>
      <c r="H16" s="191">
        <v>0.51</v>
      </c>
      <c r="I16" s="191">
        <v>0.45</v>
      </c>
      <c r="J16" s="191">
        <v>0.03</v>
      </c>
    </row>
    <row r="17" spans="1:10" ht="30.75" thickBot="1" x14ac:dyDescent="0.3">
      <c r="A17" s="93" t="s">
        <v>484</v>
      </c>
      <c r="B17" s="190">
        <v>295</v>
      </c>
      <c r="C17" s="191">
        <v>0.02</v>
      </c>
      <c r="D17" s="190">
        <v>275</v>
      </c>
      <c r="E17" s="190">
        <v>165</v>
      </c>
      <c r="F17" s="190">
        <v>105</v>
      </c>
      <c r="G17" s="190">
        <v>5</v>
      </c>
      <c r="H17" s="191">
        <v>0.6</v>
      </c>
      <c r="I17" s="191">
        <v>0.38</v>
      </c>
      <c r="J17" s="191">
        <v>0.01</v>
      </c>
    </row>
    <row r="18" spans="1:10" ht="30.75" thickBot="1" x14ac:dyDescent="0.3">
      <c r="A18" s="93" t="s">
        <v>485</v>
      </c>
      <c r="B18" s="190">
        <v>620</v>
      </c>
      <c r="C18" s="191">
        <v>0.02</v>
      </c>
      <c r="D18" s="190">
        <v>570</v>
      </c>
      <c r="E18" s="190">
        <v>275</v>
      </c>
      <c r="F18" s="190">
        <v>255</v>
      </c>
      <c r="G18" s="190">
        <v>35</v>
      </c>
      <c r="H18" s="191">
        <v>0.49</v>
      </c>
      <c r="I18" s="191">
        <v>0.45</v>
      </c>
      <c r="J18" s="191">
        <v>0.06</v>
      </c>
    </row>
    <row r="19" spans="1:10" ht="30.75" thickBot="1" x14ac:dyDescent="0.3">
      <c r="A19" s="93" t="s">
        <v>486</v>
      </c>
      <c r="B19" s="190">
        <v>605</v>
      </c>
      <c r="C19" s="191">
        <v>0.02</v>
      </c>
      <c r="D19" s="190">
        <v>580</v>
      </c>
      <c r="E19" s="190">
        <v>285</v>
      </c>
      <c r="F19" s="190">
        <v>280</v>
      </c>
      <c r="G19" s="190">
        <v>15</v>
      </c>
      <c r="H19" s="191">
        <v>0.49</v>
      </c>
      <c r="I19" s="191">
        <v>0.49</v>
      </c>
      <c r="J19" s="191">
        <v>0.02</v>
      </c>
    </row>
    <row r="20" spans="1:10" ht="30.75" thickBot="1" x14ac:dyDescent="0.3">
      <c r="A20" s="93" t="s">
        <v>487</v>
      </c>
      <c r="B20" s="190">
        <v>365</v>
      </c>
      <c r="C20" s="191">
        <v>0.02</v>
      </c>
      <c r="D20" s="190">
        <v>385</v>
      </c>
      <c r="E20" s="190">
        <v>175</v>
      </c>
      <c r="F20" s="190">
        <v>200</v>
      </c>
      <c r="G20" s="190">
        <v>5</v>
      </c>
      <c r="H20" s="191">
        <v>0.46</v>
      </c>
      <c r="I20" s="191">
        <v>0.52</v>
      </c>
      <c r="J20" s="191">
        <v>0.02</v>
      </c>
    </row>
    <row r="21" spans="1:10" ht="30.75" thickBot="1" x14ac:dyDescent="0.3">
      <c r="A21" s="93" t="s">
        <v>488</v>
      </c>
      <c r="B21" s="190">
        <v>1885</v>
      </c>
      <c r="C21" s="191">
        <v>0.02</v>
      </c>
      <c r="D21" s="190">
        <v>1805</v>
      </c>
      <c r="E21" s="190">
        <v>905</v>
      </c>
      <c r="F21" s="190">
        <v>845</v>
      </c>
      <c r="G21" s="190">
        <v>60</v>
      </c>
      <c r="H21" s="191">
        <v>0.5</v>
      </c>
      <c r="I21" s="191">
        <v>0.47</v>
      </c>
      <c r="J21" s="191">
        <v>0.03</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3"/>
  <sheetViews>
    <sheetView zoomScale="75" zoomScaleNormal="75" workbookViewId="0"/>
  </sheetViews>
  <sheetFormatPr defaultRowHeight="15" x14ac:dyDescent="0.25"/>
  <cols>
    <col min="1" max="1" width="54.28515625" customWidth="1"/>
    <col min="2" max="4" width="17.42578125" customWidth="1"/>
    <col min="5" max="5" width="17.42578125" style="22" customWidth="1"/>
    <col min="6" max="11" width="17.42578125" customWidth="1"/>
    <col min="12" max="13" width="12.28515625" customWidth="1"/>
  </cols>
  <sheetData>
    <row r="1" spans="1:14" ht="21.6" customHeight="1" x14ac:dyDescent="0.35">
      <c r="A1" s="31" t="s">
        <v>55</v>
      </c>
    </row>
    <row r="2" spans="1:14" ht="20.100000000000001" customHeight="1" x14ac:dyDescent="0.25">
      <c r="A2" s="27" t="s">
        <v>768</v>
      </c>
    </row>
    <row r="3" spans="1:14" ht="20.100000000000001" customHeight="1" x14ac:dyDescent="0.25">
      <c r="A3" s="26" t="s">
        <v>57</v>
      </c>
    </row>
    <row r="4" spans="1:14" s="198" customFormat="1" ht="15.95" customHeight="1" x14ac:dyDescent="0.35">
      <c r="A4" s="222" t="s">
        <v>745</v>
      </c>
      <c r="B4" s="223"/>
      <c r="C4" s="223"/>
      <c r="D4" s="223"/>
      <c r="E4" s="223"/>
      <c r="F4" s="223"/>
      <c r="G4" s="223"/>
      <c r="H4" s="224"/>
      <c r="I4" s="224"/>
      <c r="J4" s="224"/>
      <c r="K4" s="224"/>
    </row>
    <row r="5" spans="1:14" s="198" customFormat="1" ht="15.95" customHeight="1" x14ac:dyDescent="0.35">
      <c r="A5" s="222" t="s">
        <v>746</v>
      </c>
      <c r="B5" s="223"/>
      <c r="C5" s="223"/>
      <c r="D5" s="223"/>
      <c r="E5" s="223"/>
      <c r="F5" s="223"/>
      <c r="G5" s="223"/>
      <c r="H5" s="224"/>
      <c r="I5" s="224"/>
      <c r="J5" s="224"/>
      <c r="K5" s="224"/>
    </row>
    <row r="6" spans="1:14" ht="29.1" customHeight="1" x14ac:dyDescent="0.25">
      <c r="A6" s="43" t="s">
        <v>748</v>
      </c>
    </row>
    <row r="7" spans="1:14" s="1" customFormat="1" ht="31.5" customHeight="1" x14ac:dyDescent="0.25">
      <c r="A7" s="202" t="s">
        <v>702</v>
      </c>
      <c r="B7" s="203" t="s">
        <v>222</v>
      </c>
      <c r="C7" s="49"/>
      <c r="D7" s="30"/>
      <c r="E7" s="30"/>
      <c r="F7" s="30"/>
      <c r="G7" s="30"/>
      <c r="H7" s="30"/>
      <c r="I7" s="30"/>
      <c r="J7" s="30"/>
      <c r="K7" s="30"/>
      <c r="L7" s="30"/>
    </row>
    <row r="8" spans="1:14" ht="63" x14ac:dyDescent="0.25">
      <c r="A8" s="38" t="s">
        <v>606</v>
      </c>
      <c r="B8" s="39" t="s">
        <v>51</v>
      </c>
      <c r="C8" s="32" t="s">
        <v>314</v>
      </c>
      <c r="D8" s="32" t="s">
        <v>706</v>
      </c>
      <c r="E8" s="32" t="s">
        <v>22</v>
      </c>
      <c r="F8" s="32" t="s">
        <v>707</v>
      </c>
      <c r="G8" s="32" t="s">
        <v>701</v>
      </c>
      <c r="H8" s="32" t="s">
        <v>708</v>
      </c>
      <c r="I8" s="32" t="s">
        <v>315</v>
      </c>
      <c r="J8" s="32" t="s">
        <v>316</v>
      </c>
      <c r="K8" s="32" t="s">
        <v>317</v>
      </c>
      <c r="L8" s="27"/>
    </row>
    <row r="9" spans="1:14" ht="15.95" customHeight="1" x14ac:dyDescent="0.25">
      <c r="A9" s="150" t="str">
        <f xml:space="preserve"> "Total " &amp;$B$7</f>
        <v>Total All time</v>
      </c>
      <c r="B9" s="130">
        <f>VLOOKUP($A9,'Table 2 - Full data'!$A$2:$K$31,2,FALSE)</f>
        <v>323915</v>
      </c>
      <c r="C9" s="96">
        <f>VLOOKUP($A9,'Table 2 - Full data'!$A$2:$K$31,3,FALSE)</f>
        <v>1</v>
      </c>
      <c r="D9" s="130">
        <f>VLOOKUP($A9,'Table 2 - Full data'!$A$2:$K$31,4,FALSE)</f>
        <v>315340</v>
      </c>
      <c r="E9" s="96">
        <f>VLOOKUP($A9,'Table 2 - Full data'!$A$2:$K$31,5,FALSE)</f>
        <v>1</v>
      </c>
      <c r="F9" s="130">
        <f>VLOOKUP($A9,'Table 2 - Full data'!$A$2:$K$31,6,FALSE)</f>
        <v>213585</v>
      </c>
      <c r="G9" s="130">
        <f>VLOOKUP($A9,'Table 2 - Full data'!$A$2:$K$31,7,FALSE)</f>
        <v>90095</v>
      </c>
      <c r="H9" s="130">
        <f>VLOOKUP($A9,'Table 2 - Full data'!$A$2:$K$31,8,FALSE)</f>
        <v>11660</v>
      </c>
      <c r="I9" s="96">
        <f>VLOOKUP($A9,'Table 2 - Full data'!$A$2:$K$31,9,FALSE)</f>
        <v>0.68</v>
      </c>
      <c r="J9" s="96">
        <f>VLOOKUP($A9,'Table 2 - Full data'!$A$2:$K$31,10,FALSE)</f>
        <v>0.28999999999999998</v>
      </c>
      <c r="K9" s="96">
        <f>VLOOKUP($A9,'Table 2 - Full data'!$A$2:$K$31,11,FALSE)</f>
        <v>0.04</v>
      </c>
      <c r="L9" s="27"/>
      <c r="N9" s="22"/>
    </row>
    <row r="10" spans="1:14" ht="15.95" customHeight="1" x14ac:dyDescent="0.25">
      <c r="A10" s="61" t="str">
        <f xml:space="preserve"> "Pregnancy and Baby Payment " &amp;$B$7</f>
        <v>Pregnancy and Baby Payment All time</v>
      </c>
      <c r="B10" s="134">
        <f>VLOOKUP($A10,'Table 2 - Full data'!$A$2:$K$31,2,FALSE)</f>
        <v>109220</v>
      </c>
      <c r="C10" s="75">
        <f>VLOOKUP($A10,'Table 2 - Full data'!$A$2:$K$31,3,FALSE)</f>
        <v>0.34</v>
      </c>
      <c r="D10" s="134">
        <f>VLOOKUP($A10,'Table 2 - Full data'!$A$2:$K$31,4,FALSE)</f>
        <v>104960</v>
      </c>
      <c r="E10" s="75">
        <f>VLOOKUP($A10,'Table 2 - Full data'!$A$2:$K$31,5,FALSE)</f>
        <v>0.33</v>
      </c>
      <c r="F10" s="134">
        <f>VLOOKUP($A10,'Table 2 - Full data'!$A$2:$K$31,6,FALSE)</f>
        <v>53960</v>
      </c>
      <c r="G10" s="134">
        <f>VLOOKUP($A10,'Table 2 - Full data'!$A$2:$K$31,7,FALSE)</f>
        <v>47755</v>
      </c>
      <c r="H10" s="134">
        <f>VLOOKUP($A10,'Table 2 - Full data'!$A$2:$K$31,8,FALSE)</f>
        <v>3245</v>
      </c>
      <c r="I10" s="75">
        <f>VLOOKUP($A10,'Table 2 - Full data'!$A$2:$K$31,9,FALSE)</f>
        <v>0.51</v>
      </c>
      <c r="J10" s="75">
        <f>VLOOKUP($A10,'Table 2 - Full data'!$A$2:$K$31,10,FALSE)</f>
        <v>0.45</v>
      </c>
      <c r="K10" s="75">
        <f>VLOOKUP($A10,'Table 2 - Full data'!$A$2:$K$31,11,FALSE)</f>
        <v>0.03</v>
      </c>
      <c r="L10" s="27"/>
      <c r="N10" s="22"/>
    </row>
    <row r="11" spans="1:14" ht="15.95" customHeight="1" x14ac:dyDescent="0.25">
      <c r="A11" s="61" t="str">
        <f xml:space="preserve"> "Early Learning Payment " &amp;$B$7</f>
        <v>Early Learning Payment All time</v>
      </c>
      <c r="B11" s="134">
        <f>VLOOKUP($A11,'Table 2 - Full data'!$A$2:$K$31,2,FALSE)</f>
        <v>105040</v>
      </c>
      <c r="C11" s="75">
        <f>VLOOKUP($A11,'Table 2 - Full data'!$A$2:$K$31,3,FALSE)</f>
        <v>0.32</v>
      </c>
      <c r="D11" s="134">
        <f>VLOOKUP($A11,'Table 2 - Full data'!$A$2:$K$31,4,FALSE)</f>
        <v>102345</v>
      </c>
      <c r="E11" s="75">
        <f>VLOOKUP($A11,'Table 2 - Full data'!$A$2:$K$31,5,FALSE)</f>
        <v>0.32</v>
      </c>
      <c r="F11" s="134">
        <f>VLOOKUP($A11,'Table 2 - Full data'!$A$2:$K$31,6,FALSE)</f>
        <v>62170</v>
      </c>
      <c r="G11" s="134">
        <f>VLOOKUP($A11,'Table 2 - Full data'!$A$2:$K$31,7,FALSE)</f>
        <v>36665</v>
      </c>
      <c r="H11" s="134">
        <f>VLOOKUP($A11,'Table 2 - Full data'!$A$2:$K$31,8,FALSE)</f>
        <v>3510</v>
      </c>
      <c r="I11" s="75">
        <f>VLOOKUP($A11,'Table 2 - Full data'!$A$2:$K$31,9,FALSE)</f>
        <v>0.61</v>
      </c>
      <c r="J11" s="75">
        <f>VLOOKUP($A11,'Table 2 - Full data'!$A$2:$K$31,10,FALSE)</f>
        <v>0.36</v>
      </c>
      <c r="K11" s="75">
        <f>VLOOKUP($A11,'Table 2 - Full data'!$A$2:$K$31,11,FALSE)</f>
        <v>0.03</v>
      </c>
      <c r="L11" s="27"/>
      <c r="N11" s="22"/>
    </row>
    <row r="12" spans="1:14" ht="15.95" customHeight="1" x14ac:dyDescent="0.25">
      <c r="A12" s="61" t="str">
        <f xml:space="preserve"> "School Age Payment " &amp;$B$7</f>
        <v>School Age Payment All time</v>
      </c>
      <c r="B12" s="134">
        <f>VLOOKUP($A12,'Table 2 - Full data'!$A$2:$K$31,2,FALSE)</f>
        <v>80270</v>
      </c>
      <c r="C12" s="75">
        <f>VLOOKUP($A12,'Table 2 - Full data'!$A$2:$K$31,3,FALSE)</f>
        <v>0.25</v>
      </c>
      <c r="D12" s="134">
        <f>VLOOKUP($A12,'Table 2 - Full data'!$A$2:$K$31,4,FALSE)</f>
        <v>79000</v>
      </c>
      <c r="E12" s="75">
        <f>VLOOKUP($A12,'Table 2 - Full data'!$A$2:$K$31,5,FALSE)</f>
        <v>0.25</v>
      </c>
      <c r="F12" s="134">
        <f>VLOOKUP($A12,'Table 2 - Full data'!$A$2:$K$31,6,FALSE)</f>
        <v>55150</v>
      </c>
      <c r="G12" s="134">
        <f>VLOOKUP($A12,'Table 2 - Full data'!$A$2:$K$31,7,FALSE)</f>
        <v>21225</v>
      </c>
      <c r="H12" s="134">
        <f>VLOOKUP($A12,'Table 2 - Full data'!$A$2:$K$31,8,FALSE)</f>
        <v>2630</v>
      </c>
      <c r="I12" s="75">
        <f>VLOOKUP($A12,'Table 2 - Full data'!$A$2:$K$31,9,FALSE)</f>
        <v>0.7</v>
      </c>
      <c r="J12" s="75">
        <f>VLOOKUP($A12,'Table 2 - Full data'!$A$2:$K$31,10,FALSE)</f>
        <v>0.27</v>
      </c>
      <c r="K12" s="75">
        <f>VLOOKUP($A12,'Table 2 - Full data'!$A$2:$K$31,11,FALSE)</f>
        <v>0.03</v>
      </c>
      <c r="L12" s="27"/>
      <c r="N12" s="22"/>
    </row>
    <row r="13" spans="1:14" ht="15.95" customHeight="1" x14ac:dyDescent="0.25">
      <c r="A13" s="61" t="str">
        <f xml:space="preserve"> "Best Start Foods " &amp;$B$7</f>
        <v>Best Start Foods All time</v>
      </c>
      <c r="B13" s="134">
        <f>VLOOKUP($A13,'Table 2 - Full data'!$A$2:$K$31,2,FALSE)</f>
        <v>170840</v>
      </c>
      <c r="C13" s="75">
        <f>VLOOKUP($A13,'Table 2 - Full data'!$A$2:$K$31,3,FALSE)</f>
        <v>0.53</v>
      </c>
      <c r="D13" s="134">
        <f>VLOOKUP($A13,'Table 2 - Full data'!$A$2:$K$31,4,FALSE)</f>
        <v>163825</v>
      </c>
      <c r="E13" s="75">
        <f>VLOOKUP($A13,'Table 2 - Full data'!$A$2:$K$31,5,FALSE)</f>
        <v>0.52</v>
      </c>
      <c r="F13" s="134">
        <f>VLOOKUP($A13,'Table 2 - Full data'!$A$2:$K$31,6,FALSE)</f>
        <v>103290</v>
      </c>
      <c r="G13" s="134">
        <f>VLOOKUP($A13,'Table 2 - Full data'!$A$2:$K$31,7,FALSE)</f>
        <v>54730</v>
      </c>
      <c r="H13" s="134">
        <f>VLOOKUP($A13,'Table 2 - Full data'!$A$2:$K$31,8,FALSE)</f>
        <v>5810</v>
      </c>
      <c r="I13" s="75">
        <f>VLOOKUP($A13,'Table 2 - Full data'!$A$2:$K$31,9,FALSE)</f>
        <v>0.63</v>
      </c>
      <c r="J13" s="75">
        <f>VLOOKUP($A13,'Table 2 - Full data'!$A$2:$K$31,10,FALSE)</f>
        <v>0.33</v>
      </c>
      <c r="K13" s="75">
        <f>VLOOKUP($A13,'Table 2 - Full data'!$A$2:$K$31,11,FALSE)</f>
        <v>0.04</v>
      </c>
      <c r="L13" s="27"/>
      <c r="N13" s="22"/>
    </row>
    <row r="14" spans="1:14" ht="15.95" customHeight="1" x14ac:dyDescent="0.25">
      <c r="A14" s="61" t="str">
        <f xml:space="preserve"> "Unknown " &amp;$B$7</f>
        <v>Unknown All time</v>
      </c>
      <c r="B14" s="134">
        <f>VLOOKUP($A14,'Table 2 - Full data'!$A$2:$K$31,2,FALSE)</f>
        <v>35295</v>
      </c>
      <c r="C14" s="75">
        <f>VLOOKUP($A14,'Table 2 - Full data'!$A$2:$K$31,3,FALSE)</f>
        <v>0.11</v>
      </c>
      <c r="D14" s="134">
        <f>VLOOKUP($A14,'Table 2 - Full data'!$A$2:$K$31,4,FALSE)</f>
        <v>34560</v>
      </c>
      <c r="E14" s="75">
        <f>VLOOKUP($A14,'Table 2 - Full data'!$A$2:$K$31,5,FALSE)</f>
        <v>0.11</v>
      </c>
      <c r="F14" s="134">
        <f>VLOOKUP($A14,'Table 2 - Full data'!$A$2:$K$31,6,FALSE)</f>
        <v>1980</v>
      </c>
      <c r="G14" s="134">
        <f>VLOOKUP($A14,'Table 2 - Full data'!$A$2:$K$31,7,FALSE)</f>
        <v>30680</v>
      </c>
      <c r="H14" s="134">
        <f>VLOOKUP($A14,'Table 2 - Full data'!$A$2:$K$31,8,FALSE)</f>
        <v>1900</v>
      </c>
      <c r="I14" s="75">
        <f>VLOOKUP($A14,'Table 2 - Full data'!$A$2:$K$31,9,FALSE)</f>
        <v>0.06</v>
      </c>
      <c r="J14" s="75">
        <f>VLOOKUP($A14,'Table 2 - Full data'!$A$2:$K$31,10,FALSE)</f>
        <v>0.89</v>
      </c>
      <c r="K14" s="75">
        <f>VLOOKUP($A14,'Table 2 - Full data'!$A$2:$K$31,11,FALSE)</f>
        <v>0.05</v>
      </c>
      <c r="L14" s="27"/>
    </row>
    <row r="15" spans="1:14" ht="19.5" customHeight="1" x14ac:dyDescent="0.25">
      <c r="A15" s="237" t="s">
        <v>8</v>
      </c>
      <c r="B15" s="237"/>
      <c r="C15" s="237"/>
      <c r="D15" s="237"/>
      <c r="E15" s="237"/>
      <c r="F15" s="237"/>
      <c r="G15" s="237"/>
      <c r="H15" s="237"/>
      <c r="I15" s="237"/>
      <c r="J15" s="237"/>
      <c r="K15" s="237"/>
      <c r="L15" s="237"/>
    </row>
    <row r="16" spans="1:14" ht="15.75" x14ac:dyDescent="0.25">
      <c r="A16" s="45" t="s">
        <v>586</v>
      </c>
      <c r="B16" s="45"/>
      <c r="C16" s="45"/>
      <c r="D16" s="45"/>
      <c r="E16" s="45"/>
      <c r="F16" s="45"/>
      <c r="G16" s="45"/>
      <c r="H16" s="45"/>
      <c r="I16" s="45"/>
      <c r="J16" s="45"/>
      <c r="K16" s="45"/>
      <c r="L16" s="45"/>
      <c r="M16" s="11"/>
    </row>
    <row r="17" spans="1:13" s="22" customFormat="1" ht="15.75" x14ac:dyDescent="0.25">
      <c r="A17" s="45" t="s">
        <v>587</v>
      </c>
      <c r="B17" s="45"/>
      <c r="C17" s="45"/>
      <c r="D17" s="45"/>
      <c r="E17" s="45"/>
      <c r="F17" s="45"/>
      <c r="G17" s="45"/>
      <c r="H17" s="45"/>
      <c r="I17" s="45"/>
      <c r="J17" s="45"/>
      <c r="K17" s="45"/>
      <c r="L17" s="45"/>
      <c r="M17" s="11"/>
    </row>
    <row r="18" spans="1:13" s="22" customFormat="1" ht="15.75" x14ac:dyDescent="0.25">
      <c r="A18" s="46" t="s">
        <v>600</v>
      </c>
      <c r="B18" s="45"/>
      <c r="C18" s="45"/>
      <c r="D18" s="45"/>
      <c r="E18" s="45"/>
      <c r="F18" s="45"/>
      <c r="G18" s="45"/>
      <c r="H18" s="45"/>
      <c r="I18" s="45"/>
      <c r="J18" s="45"/>
      <c r="K18" s="45"/>
      <c r="L18" s="45"/>
      <c r="M18" s="11"/>
    </row>
    <row r="19" spans="1:13" s="22" customFormat="1" ht="15.75" x14ac:dyDescent="0.25">
      <c r="A19" s="200" t="s">
        <v>753</v>
      </c>
      <c r="B19" s="45"/>
      <c r="C19" s="45"/>
      <c r="D19" s="45"/>
      <c r="E19" s="45"/>
      <c r="F19" s="45"/>
      <c r="G19" s="45"/>
      <c r="H19" s="45"/>
      <c r="I19" s="45"/>
      <c r="J19" s="45"/>
      <c r="K19" s="45"/>
      <c r="L19" s="45"/>
      <c r="M19" s="11"/>
    </row>
    <row r="20" spans="1:13" s="22" customFormat="1" ht="15.75" x14ac:dyDescent="0.25">
      <c r="A20" s="45" t="s">
        <v>601</v>
      </c>
      <c r="B20" s="45"/>
      <c r="C20" s="45"/>
      <c r="D20" s="45"/>
      <c r="E20" s="45"/>
      <c r="F20" s="45"/>
      <c r="G20" s="45"/>
      <c r="H20" s="45"/>
      <c r="I20" s="45"/>
      <c r="J20" s="45"/>
      <c r="K20" s="45"/>
      <c r="L20" s="45"/>
      <c r="M20" s="11"/>
    </row>
    <row r="21" spans="1:13" s="22" customFormat="1" ht="15.75" x14ac:dyDescent="0.25">
      <c r="A21" s="45" t="s">
        <v>602</v>
      </c>
      <c r="B21" s="45"/>
      <c r="C21" s="45"/>
      <c r="D21" s="45"/>
      <c r="E21" s="45"/>
      <c r="F21" s="45"/>
      <c r="G21" s="45"/>
      <c r="H21" s="45"/>
      <c r="I21" s="45"/>
      <c r="J21" s="45"/>
      <c r="K21" s="45"/>
      <c r="L21" s="45"/>
      <c r="M21" s="11"/>
    </row>
    <row r="22" spans="1:13" s="22" customFormat="1" ht="15.75" x14ac:dyDescent="0.25">
      <c r="A22" s="45" t="s">
        <v>603</v>
      </c>
      <c r="B22" s="45"/>
      <c r="C22" s="45"/>
      <c r="D22" s="45"/>
      <c r="E22" s="45"/>
      <c r="F22" s="45"/>
      <c r="G22" s="45"/>
      <c r="H22" s="45"/>
      <c r="I22" s="45"/>
      <c r="J22" s="45"/>
      <c r="K22" s="45"/>
      <c r="L22" s="45"/>
      <c r="M22" s="11"/>
    </row>
    <row r="23" spans="1:13" s="22" customFormat="1" ht="15.75" x14ac:dyDescent="0.25">
      <c r="A23" s="45" t="s">
        <v>604</v>
      </c>
      <c r="B23" s="45"/>
      <c r="C23" s="45"/>
      <c r="D23" s="45"/>
      <c r="E23" s="45"/>
      <c r="F23" s="45"/>
      <c r="G23" s="45"/>
      <c r="H23" s="45"/>
      <c r="I23" s="45"/>
      <c r="J23" s="45"/>
      <c r="K23" s="45"/>
      <c r="L23" s="45"/>
      <c r="M23" s="11"/>
    </row>
    <row r="24" spans="1:13" s="22" customFormat="1" ht="15.75" x14ac:dyDescent="0.25">
      <c r="A24" s="64" t="s">
        <v>605</v>
      </c>
      <c r="B24" s="45"/>
      <c r="C24" s="45"/>
      <c r="D24" s="45"/>
      <c r="E24" s="45"/>
      <c r="F24" s="45"/>
      <c r="G24" s="45"/>
      <c r="H24" s="45"/>
      <c r="I24" s="45"/>
      <c r="J24" s="45"/>
      <c r="K24" s="45"/>
      <c r="L24" s="45"/>
      <c r="M24" s="11"/>
    </row>
    <row r="25" spans="1:13" ht="129" customHeight="1" x14ac:dyDescent="0.25">
      <c r="A25" s="44" t="s">
        <v>697</v>
      </c>
      <c r="B25" s="44"/>
      <c r="C25" s="44"/>
      <c r="D25" s="44"/>
      <c r="E25" s="44"/>
      <c r="F25" s="44"/>
      <c r="G25" s="44"/>
      <c r="H25" s="44"/>
      <c r="I25" s="44"/>
      <c r="J25" s="44"/>
      <c r="K25" s="44"/>
      <c r="L25" s="44"/>
      <c r="M25" s="11"/>
    </row>
    <row r="26" spans="1:13" ht="114" customHeight="1" x14ac:dyDescent="0.25">
      <c r="A26" s="44" t="s">
        <v>698</v>
      </c>
      <c r="B26" s="44"/>
      <c r="C26" s="44"/>
      <c r="D26" s="44"/>
      <c r="E26" s="44"/>
      <c r="F26" s="44"/>
      <c r="G26" s="44"/>
      <c r="H26" s="44"/>
      <c r="I26" s="44"/>
      <c r="J26" s="44"/>
      <c r="K26" s="44"/>
      <c r="L26" s="44"/>
    </row>
    <row r="27" spans="1:13" ht="114.75" customHeight="1" x14ac:dyDescent="0.25">
      <c r="A27" s="44" t="s">
        <v>699</v>
      </c>
      <c r="B27" s="44"/>
      <c r="C27" s="44"/>
      <c r="D27" s="44"/>
      <c r="E27" s="44"/>
      <c r="F27" s="44"/>
      <c r="G27" s="44"/>
      <c r="H27" s="44"/>
      <c r="I27" s="44"/>
      <c r="J27" s="44"/>
      <c r="K27" s="44"/>
      <c r="L27" s="44"/>
    </row>
    <row r="28" spans="1:13" ht="15.75" x14ac:dyDescent="0.25">
      <c r="A28" s="45" t="s">
        <v>700</v>
      </c>
      <c r="B28" s="44"/>
      <c r="C28" s="44"/>
      <c r="D28" s="44"/>
      <c r="E28" s="44"/>
      <c r="F28" s="44"/>
      <c r="G28" s="44"/>
      <c r="H28" s="44"/>
      <c r="I28" s="44"/>
      <c r="J28" s="44"/>
      <c r="K28" s="44"/>
      <c r="L28" s="44"/>
    </row>
    <row r="29" spans="1:13" ht="15.75" x14ac:dyDescent="0.25">
      <c r="B29" s="44"/>
      <c r="C29" s="44"/>
      <c r="D29" s="44"/>
      <c r="E29" s="44"/>
      <c r="F29" s="44"/>
      <c r="G29" s="44"/>
      <c r="H29" s="44"/>
      <c r="I29" s="44"/>
      <c r="J29" s="44"/>
      <c r="K29" s="44"/>
      <c r="L29" s="44"/>
    </row>
    <row r="30" spans="1:13" ht="15.75" x14ac:dyDescent="0.25">
      <c r="B30" s="45"/>
      <c r="C30" s="45"/>
      <c r="D30" s="45"/>
      <c r="E30" s="45"/>
      <c r="F30" s="45"/>
      <c r="G30" s="45"/>
      <c r="H30" s="45"/>
      <c r="I30" s="45"/>
      <c r="J30" s="45"/>
      <c r="K30" s="45"/>
      <c r="L30" s="45"/>
    </row>
    <row r="31" spans="1:13" ht="15.75" x14ac:dyDescent="0.25">
      <c r="B31" s="45"/>
      <c r="C31" s="45"/>
      <c r="D31" s="45"/>
      <c r="E31" s="45"/>
      <c r="F31" s="45"/>
      <c r="G31" s="45"/>
      <c r="H31" s="45"/>
      <c r="I31" s="45"/>
      <c r="J31" s="45"/>
      <c r="K31" s="45"/>
      <c r="L31" s="45"/>
    </row>
    <row r="32" spans="1:13" ht="15.75" x14ac:dyDescent="0.25">
      <c r="B32" s="46"/>
      <c r="C32" s="46"/>
      <c r="D32" s="46"/>
      <c r="E32" s="46"/>
      <c r="F32" s="46"/>
      <c r="G32" s="46"/>
      <c r="H32" s="46"/>
      <c r="I32" s="46"/>
      <c r="J32" s="46"/>
      <c r="K32" s="46"/>
      <c r="L32" s="46"/>
    </row>
    <row r="33" spans="1:12" ht="15.75" x14ac:dyDescent="0.25">
      <c r="B33" s="46"/>
      <c r="C33" s="46"/>
      <c r="D33" s="46"/>
      <c r="E33" s="46"/>
      <c r="F33" s="46"/>
      <c r="G33" s="46"/>
      <c r="H33" s="46"/>
      <c r="I33" s="46"/>
      <c r="J33" s="46"/>
      <c r="K33" s="46"/>
      <c r="L33" s="46"/>
    </row>
    <row r="36" spans="1:12" ht="15.75" x14ac:dyDescent="0.25">
      <c r="A36" s="44"/>
    </row>
    <row r="40" spans="1:12" ht="15.75" x14ac:dyDescent="0.25">
      <c r="A40" s="45"/>
    </row>
    <row r="41" spans="1:12" ht="15.75" x14ac:dyDescent="0.25">
      <c r="A41" s="44"/>
    </row>
    <row r="42" spans="1:12" ht="15.75" x14ac:dyDescent="0.25">
      <c r="A42" s="45"/>
    </row>
    <row r="43" spans="1:12" ht="15.75" x14ac:dyDescent="0.25">
      <c r="A43" s="44"/>
    </row>
    <row r="44" spans="1:12" ht="15.75" x14ac:dyDescent="0.25">
      <c r="A44" s="45"/>
    </row>
    <row r="45" spans="1:12" ht="15.75" x14ac:dyDescent="0.25">
      <c r="A45" s="44"/>
    </row>
    <row r="46" spans="1:12" ht="15.75" x14ac:dyDescent="0.25">
      <c r="A46" s="44"/>
    </row>
    <row r="47" spans="1:12" ht="15.75" x14ac:dyDescent="0.25">
      <c r="A47" s="44"/>
    </row>
    <row r="48" spans="1:12" ht="15.75" x14ac:dyDescent="0.25">
      <c r="A48" s="44"/>
      <c r="D48" s="22"/>
    </row>
    <row r="49" spans="1:1" ht="15.75" x14ac:dyDescent="0.25">
      <c r="A49" s="44"/>
    </row>
    <row r="50" spans="1:1" ht="15.75" x14ac:dyDescent="0.25">
      <c r="A50" s="45"/>
    </row>
    <row r="51" spans="1:1" ht="15.75" x14ac:dyDescent="0.25">
      <c r="A51" s="45"/>
    </row>
    <row r="52" spans="1:1" ht="15.75" x14ac:dyDescent="0.25">
      <c r="A52" s="46"/>
    </row>
    <row r="53" spans="1:1" ht="15.75" x14ac:dyDescent="0.25">
      <c r="A53" s="46"/>
    </row>
  </sheetData>
  <sheetProtection sheet="1" formatCells="0"/>
  <protectedRanges>
    <protectedRange sqref="B7" name="Range1"/>
  </protectedRanges>
  <mergeCells count="1">
    <mergeCell ref="A15:L15"/>
  </mergeCells>
  <conditionalFormatting sqref="I9">
    <cfRule type="dataBar" priority="6">
      <dataBar>
        <cfvo type="num" val="0"/>
        <cfvo type="num" val="1"/>
        <color rgb="FFB4A9D4"/>
      </dataBar>
      <extLst>
        <ext xmlns:x14="http://schemas.microsoft.com/office/spreadsheetml/2009/9/main" uri="{B025F937-C7B1-47D3-B67F-A62EFF666E3E}">
          <x14:id>{4900285C-B661-430E-A5B6-C6D5D1D42732}</x14:id>
        </ext>
      </extLst>
    </cfRule>
  </conditionalFormatting>
  <conditionalFormatting sqref="J9:K9">
    <cfRule type="dataBar" priority="5">
      <dataBar>
        <cfvo type="num" val="0"/>
        <cfvo type="num" val="1"/>
        <color rgb="FFB4A9D4"/>
      </dataBar>
      <extLst>
        <ext xmlns:x14="http://schemas.microsoft.com/office/spreadsheetml/2009/9/main" uri="{B025F937-C7B1-47D3-B67F-A62EFF666E3E}">
          <x14:id>{E64A1001-5ED6-4830-8716-6111B1CEC880}</x14:id>
        </ext>
      </extLst>
    </cfRule>
  </conditionalFormatting>
  <conditionalFormatting sqref="I10:K14">
    <cfRule type="dataBar" priority="4">
      <dataBar>
        <cfvo type="num" val="0"/>
        <cfvo type="num" val="1"/>
        <color rgb="FFB4A9D4"/>
      </dataBar>
      <extLst>
        <ext xmlns:x14="http://schemas.microsoft.com/office/spreadsheetml/2009/9/main" uri="{B025F937-C7B1-47D3-B67F-A62EFF666E3E}">
          <x14:id>{DF4D1B84-A81D-4E2E-BF9E-EFAAC0DA5822}</x14:id>
        </ext>
      </extLst>
    </cfRule>
  </conditionalFormatting>
  <conditionalFormatting sqref="E9:E14">
    <cfRule type="dataBar" priority="3">
      <dataBar>
        <cfvo type="num" val="0"/>
        <cfvo type="num" val="1"/>
        <color rgb="FFB4A9D4"/>
      </dataBar>
      <extLst>
        <ext xmlns:x14="http://schemas.microsoft.com/office/spreadsheetml/2009/9/main" uri="{B025F937-C7B1-47D3-B67F-A62EFF666E3E}">
          <x14:id>{8A4DB90E-0B4A-4C07-AADE-072125234981}</x14:id>
        </ext>
      </extLst>
    </cfRule>
  </conditionalFormatting>
  <conditionalFormatting sqref="C10:C14">
    <cfRule type="dataBar" priority="2">
      <dataBar>
        <cfvo type="num" val="0"/>
        <cfvo type="num" val="1"/>
        <color rgb="FFB4A9D4"/>
      </dataBar>
      <extLst>
        <ext xmlns:x14="http://schemas.microsoft.com/office/spreadsheetml/2009/9/main" uri="{B025F937-C7B1-47D3-B67F-A62EFF666E3E}">
          <x14:id>{17D91D72-3545-4FFB-8130-AF86F3FAF996}</x14:id>
        </ext>
      </extLst>
    </cfRule>
  </conditionalFormatting>
  <conditionalFormatting sqref="C9">
    <cfRule type="dataBar" priority="1">
      <dataBar>
        <cfvo type="num" val="0"/>
        <cfvo type="num" val="1"/>
        <color rgb="FFB4A9D4"/>
      </dataBar>
      <extLst>
        <ext xmlns:x14="http://schemas.microsoft.com/office/spreadsheetml/2009/9/main" uri="{B025F937-C7B1-47D3-B67F-A62EFF666E3E}">
          <x14:id>{8EB1F9A8-F608-411E-A40A-ACBECDEB5573}</x14:id>
        </ext>
      </extLst>
    </cfRule>
  </conditionalFormatting>
  <conditionalFormatting sqref="M16:M25">
    <cfRule type="dataBar" priority="88">
      <dataBar>
        <cfvo type="min"/>
        <cfvo type="max"/>
        <color rgb="FF638EC6"/>
      </dataBar>
      <extLst>
        <ext xmlns:x14="http://schemas.microsoft.com/office/spreadsheetml/2009/9/main" uri="{B025F937-C7B1-47D3-B67F-A62EFF666E3E}">
          <x14:id>{AA9ACD66-CFFF-4DFF-807A-AFBCD23AE811}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900285C-B661-430E-A5B6-C6D5D1D42732}">
            <x14:dataBar minLength="0" maxLength="100" gradient="0">
              <x14:cfvo type="num">
                <xm:f>0</xm:f>
              </x14:cfvo>
              <x14:cfvo type="num">
                <xm:f>1</xm:f>
              </x14:cfvo>
              <x14:negativeFillColor rgb="FFFF0000"/>
              <x14:axisColor rgb="FF000000"/>
            </x14:dataBar>
          </x14:cfRule>
          <xm:sqref>I9</xm:sqref>
        </x14:conditionalFormatting>
        <x14:conditionalFormatting xmlns:xm="http://schemas.microsoft.com/office/excel/2006/main">
          <x14:cfRule type="dataBar" id="{E64A1001-5ED6-4830-8716-6111B1CEC880}">
            <x14:dataBar minLength="0" maxLength="100" gradient="0">
              <x14:cfvo type="num">
                <xm:f>0</xm:f>
              </x14:cfvo>
              <x14:cfvo type="num">
                <xm:f>1</xm:f>
              </x14:cfvo>
              <x14:negativeFillColor rgb="FFFF0000"/>
              <x14:axisColor rgb="FF000000"/>
            </x14:dataBar>
          </x14:cfRule>
          <xm:sqref>J9:K9</xm:sqref>
        </x14:conditionalFormatting>
        <x14:conditionalFormatting xmlns:xm="http://schemas.microsoft.com/office/excel/2006/main">
          <x14:cfRule type="dataBar" id="{DF4D1B84-A81D-4E2E-BF9E-EFAAC0DA5822}">
            <x14:dataBar minLength="0" maxLength="100" gradient="0">
              <x14:cfvo type="num">
                <xm:f>0</xm:f>
              </x14:cfvo>
              <x14:cfvo type="num">
                <xm:f>1</xm:f>
              </x14:cfvo>
              <x14:negativeFillColor rgb="FFFF0000"/>
              <x14:axisColor rgb="FF000000"/>
            </x14:dataBar>
          </x14:cfRule>
          <xm:sqref>I10:K14</xm:sqref>
        </x14:conditionalFormatting>
        <x14:conditionalFormatting xmlns:xm="http://schemas.microsoft.com/office/excel/2006/main">
          <x14:cfRule type="dataBar" id="{8A4DB90E-0B4A-4C07-AADE-072125234981}">
            <x14:dataBar minLength="0" maxLength="100" gradient="0">
              <x14:cfvo type="num">
                <xm:f>0</xm:f>
              </x14:cfvo>
              <x14:cfvo type="num">
                <xm:f>1</xm:f>
              </x14:cfvo>
              <x14:negativeFillColor rgb="FFFF0000"/>
              <x14:axisColor rgb="FF000000"/>
            </x14:dataBar>
          </x14:cfRule>
          <xm:sqref>E9:E14</xm:sqref>
        </x14:conditionalFormatting>
        <x14:conditionalFormatting xmlns:xm="http://schemas.microsoft.com/office/excel/2006/main">
          <x14:cfRule type="dataBar" id="{17D91D72-3545-4FFB-8130-AF86F3FAF996}">
            <x14:dataBar minLength="0" maxLength="100" gradient="0">
              <x14:cfvo type="num">
                <xm:f>0</xm:f>
              </x14:cfvo>
              <x14:cfvo type="num">
                <xm:f>1</xm:f>
              </x14:cfvo>
              <x14:negativeFillColor rgb="FFFF0000"/>
              <x14:axisColor rgb="FF000000"/>
            </x14:dataBar>
          </x14:cfRule>
          <xm:sqref>C10:C14</xm:sqref>
        </x14:conditionalFormatting>
        <x14:conditionalFormatting xmlns:xm="http://schemas.microsoft.com/office/excel/2006/main">
          <x14:cfRule type="dataBar" id="{8EB1F9A8-F608-411E-A40A-ACBECDEB5573}">
            <x14:dataBar minLength="0" maxLength="100" gradient="0">
              <x14:cfvo type="num">
                <xm:f>0</xm:f>
              </x14:cfvo>
              <x14:cfvo type="num">
                <xm:f>1</xm:f>
              </x14:cfvo>
              <x14:negativeFillColor rgb="FFFF0000"/>
              <x14:axisColor rgb="FF000000"/>
            </x14:dataBar>
          </x14:cfRule>
          <xm:sqref>C9</xm:sqref>
        </x14:conditionalFormatting>
        <x14:conditionalFormatting xmlns:xm="http://schemas.microsoft.com/office/excel/2006/main">
          <x14:cfRule type="dataBar" id="{AA9ACD66-CFFF-4DFF-807A-AFBCD23AE811}">
            <x14:dataBar minLength="0" maxLength="100" border="1" negativeBarBorderColorSameAsPositive="0">
              <x14:cfvo type="autoMin"/>
              <x14:cfvo type="autoMax"/>
              <x14:borderColor rgb="FF638EC6"/>
              <x14:negativeFillColor rgb="FFFF0000"/>
              <x14:negativeBorderColor rgb="FFFF0000"/>
              <x14:axisColor rgb="FF000000"/>
            </x14:dataBar>
          </x14:cfRule>
          <xm:sqref>M16:M25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5 - Full data'!$L$2:$L$6</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64"/>
  <sheetViews>
    <sheetView zoomScale="75" zoomScaleNormal="75" workbookViewId="0"/>
  </sheetViews>
  <sheetFormatPr defaultRowHeight="15" x14ac:dyDescent="0.25"/>
  <cols>
    <col min="1" max="1" width="28.28515625" customWidth="1"/>
    <col min="2" max="5" width="24.28515625" customWidth="1"/>
    <col min="6" max="6" width="24.28515625" style="22" customWidth="1"/>
    <col min="7" max="9" width="24.28515625" customWidth="1"/>
    <col min="10" max="10" width="14.28515625" customWidth="1"/>
    <col min="11" max="27" width="10.140625" customWidth="1"/>
    <col min="28" max="28" width="12.140625" customWidth="1"/>
    <col min="29" max="29" width="12" customWidth="1"/>
  </cols>
  <sheetData>
    <row r="1" spans="1:27" ht="21" x14ac:dyDescent="0.35">
      <c r="A1" s="31" t="s">
        <v>23</v>
      </c>
      <c r="B1" s="31"/>
      <c r="C1" s="31"/>
      <c r="D1" s="31"/>
      <c r="E1" s="31"/>
      <c r="F1" s="31"/>
      <c r="G1" s="31"/>
      <c r="H1" s="31"/>
      <c r="I1" s="31"/>
      <c r="J1" s="31"/>
      <c r="K1" s="31"/>
      <c r="L1" s="31"/>
      <c r="M1" s="31"/>
      <c r="N1" s="31"/>
    </row>
    <row r="2" spans="1:27" ht="15.75" x14ac:dyDescent="0.25">
      <c r="A2" s="81" t="s">
        <v>647</v>
      </c>
      <c r="B2" s="27"/>
      <c r="C2" s="27"/>
      <c r="D2" s="27"/>
      <c r="E2" s="27"/>
      <c r="F2" s="37"/>
      <c r="G2" s="27"/>
      <c r="H2" s="27"/>
      <c r="I2" s="27"/>
      <c r="J2" s="27"/>
      <c r="K2" s="27"/>
      <c r="L2" s="27"/>
      <c r="M2" s="27"/>
      <c r="N2" s="27"/>
    </row>
    <row r="3" spans="1:27" s="198" customFormat="1" ht="15.95" customHeight="1" x14ac:dyDescent="0.35">
      <c r="A3" s="222" t="s">
        <v>745</v>
      </c>
      <c r="B3" s="223"/>
      <c r="C3" s="223"/>
      <c r="D3" s="223"/>
      <c r="E3" s="223"/>
      <c r="F3" s="223"/>
      <c r="G3" s="223"/>
      <c r="H3" s="224"/>
      <c r="I3" s="224"/>
      <c r="J3" s="224"/>
      <c r="K3" s="224"/>
    </row>
    <row r="4" spans="1:27" s="198" customFormat="1" ht="15.95" customHeight="1" x14ac:dyDescent="0.35">
      <c r="A4" s="222" t="s">
        <v>746</v>
      </c>
      <c r="B4" s="223"/>
      <c r="C4" s="223"/>
      <c r="D4" s="223"/>
      <c r="E4" s="223"/>
      <c r="F4" s="223"/>
      <c r="G4" s="223"/>
      <c r="H4" s="224"/>
      <c r="I4" s="224"/>
      <c r="J4" s="224"/>
      <c r="K4" s="224"/>
    </row>
    <row r="5" spans="1:27" ht="15.75" x14ac:dyDescent="0.25">
      <c r="A5" s="26" t="s">
        <v>749</v>
      </c>
      <c r="B5" s="26"/>
      <c r="C5" s="26"/>
      <c r="D5" s="26"/>
      <c r="E5" s="26"/>
      <c r="F5" s="26"/>
      <c r="G5" s="26"/>
      <c r="H5" s="26"/>
      <c r="I5" s="26"/>
      <c r="J5" s="26"/>
      <c r="K5" s="26"/>
      <c r="L5" s="26"/>
      <c r="M5" s="26"/>
      <c r="N5" s="26"/>
    </row>
    <row r="6" spans="1:27" ht="101.1" customHeight="1" x14ac:dyDescent="0.25">
      <c r="A6" s="47" t="s">
        <v>703</v>
      </c>
      <c r="B6" s="48" t="s">
        <v>6</v>
      </c>
      <c r="C6" s="48" t="s">
        <v>56</v>
      </c>
      <c r="D6" s="90" t="s">
        <v>704</v>
      </c>
      <c r="E6" s="90" t="s">
        <v>595</v>
      </c>
      <c r="F6" s="90" t="s">
        <v>607</v>
      </c>
      <c r="G6" s="90" t="s">
        <v>705</v>
      </c>
      <c r="H6" s="48" t="s">
        <v>318</v>
      </c>
      <c r="I6" s="48" t="s">
        <v>496</v>
      </c>
      <c r="K6" s="5"/>
    </row>
    <row r="7" spans="1:27" ht="15.75" x14ac:dyDescent="0.25">
      <c r="A7" s="89" t="s">
        <v>6</v>
      </c>
      <c r="B7" s="115">
        <v>323915</v>
      </c>
      <c r="C7" s="115">
        <v>296090</v>
      </c>
      <c r="D7" s="115">
        <v>6720</v>
      </c>
      <c r="E7" s="115">
        <v>20725</v>
      </c>
      <c r="F7" s="115">
        <v>27445</v>
      </c>
      <c r="G7" s="115">
        <v>375</v>
      </c>
      <c r="H7" s="112">
        <v>0.91</v>
      </c>
      <c r="I7" s="112">
        <v>0.08</v>
      </c>
      <c r="K7" s="235"/>
      <c r="L7" s="235"/>
      <c r="M7" s="235"/>
      <c r="N7" s="235"/>
      <c r="O7" s="235"/>
      <c r="P7" s="235"/>
      <c r="Q7" s="236"/>
      <c r="R7" s="236"/>
      <c r="U7" s="22"/>
      <c r="V7" s="22"/>
      <c r="W7" s="22"/>
      <c r="X7" s="22"/>
      <c r="Y7" s="22"/>
      <c r="Z7" s="22"/>
      <c r="AA7" s="212"/>
    </row>
    <row r="8" spans="1:27" ht="15.75" x14ac:dyDescent="0.25">
      <c r="A8" s="35" t="s">
        <v>259</v>
      </c>
      <c r="B8" s="113">
        <v>9900</v>
      </c>
      <c r="C8" s="113">
        <v>8800</v>
      </c>
      <c r="D8" s="149" t="s">
        <v>497</v>
      </c>
      <c r="E8" s="149" t="s">
        <v>497</v>
      </c>
      <c r="F8" s="113">
        <v>1090</v>
      </c>
      <c r="G8" s="113">
        <v>5</v>
      </c>
      <c r="H8" s="98">
        <v>0.89</v>
      </c>
      <c r="I8" s="98">
        <v>0.11</v>
      </c>
      <c r="K8" s="190"/>
      <c r="L8" s="190"/>
      <c r="M8" s="190"/>
      <c r="N8" s="190"/>
      <c r="O8" s="190"/>
      <c r="P8" s="190"/>
      <c r="Q8" s="191"/>
      <c r="R8" s="191"/>
      <c r="T8" s="22"/>
      <c r="U8" s="22"/>
      <c r="V8" s="22"/>
      <c r="W8" s="22"/>
      <c r="X8" s="22"/>
      <c r="Y8" s="22"/>
      <c r="Z8" s="22"/>
      <c r="AA8" s="212"/>
    </row>
    <row r="9" spans="1:27" ht="15.75" x14ac:dyDescent="0.25">
      <c r="A9" s="35" t="s">
        <v>260</v>
      </c>
      <c r="B9" s="113">
        <v>4025</v>
      </c>
      <c r="C9" s="113">
        <v>3645</v>
      </c>
      <c r="D9" s="149" t="s">
        <v>498</v>
      </c>
      <c r="E9" s="149" t="s">
        <v>498</v>
      </c>
      <c r="F9" s="113">
        <v>370</v>
      </c>
      <c r="G9" s="113">
        <v>10</v>
      </c>
      <c r="H9" s="98">
        <v>0.91</v>
      </c>
      <c r="I9" s="98">
        <v>0.09</v>
      </c>
      <c r="K9" s="190"/>
      <c r="L9" s="190"/>
      <c r="M9" s="190"/>
      <c r="N9" s="190"/>
      <c r="O9" s="190"/>
      <c r="P9" s="190"/>
      <c r="Q9" s="191"/>
      <c r="R9" s="191"/>
      <c r="T9" s="22"/>
      <c r="U9" s="22"/>
      <c r="V9" s="22"/>
      <c r="W9" s="22"/>
      <c r="X9" s="22"/>
      <c r="Y9" s="22"/>
      <c r="Z9" s="22"/>
      <c r="AA9" s="212"/>
    </row>
    <row r="10" spans="1:27" ht="15.75" x14ac:dyDescent="0.25">
      <c r="A10" s="35" t="s">
        <v>261</v>
      </c>
      <c r="B10" s="113">
        <v>2585</v>
      </c>
      <c r="C10" s="113">
        <v>2280</v>
      </c>
      <c r="D10" s="149" t="s">
        <v>499</v>
      </c>
      <c r="E10" s="149" t="s">
        <v>499</v>
      </c>
      <c r="F10" s="113">
        <v>300</v>
      </c>
      <c r="G10" s="113">
        <v>10</v>
      </c>
      <c r="H10" s="98">
        <v>0.88</v>
      </c>
      <c r="I10" s="98">
        <v>0.11</v>
      </c>
      <c r="K10" s="190"/>
      <c r="L10" s="190"/>
      <c r="M10" s="190"/>
      <c r="N10" s="190"/>
      <c r="O10" s="190"/>
      <c r="P10" s="190"/>
      <c r="Q10" s="191"/>
      <c r="R10" s="191"/>
      <c r="T10" s="22"/>
      <c r="U10" s="22"/>
      <c r="V10" s="22"/>
      <c r="W10" s="22"/>
      <c r="X10" s="22"/>
      <c r="Y10" s="22"/>
      <c r="Z10" s="22"/>
      <c r="AA10" s="212"/>
    </row>
    <row r="11" spans="1:27" ht="15.75" x14ac:dyDescent="0.25">
      <c r="A11" s="35" t="s">
        <v>264</v>
      </c>
      <c r="B11" s="113">
        <v>2970</v>
      </c>
      <c r="C11" s="113">
        <v>2635</v>
      </c>
      <c r="D11" s="149" t="s">
        <v>759</v>
      </c>
      <c r="E11" s="149" t="s">
        <v>759</v>
      </c>
      <c r="F11" s="113">
        <v>330</v>
      </c>
      <c r="G11" s="113">
        <v>5</v>
      </c>
      <c r="H11" s="98">
        <v>0.89</v>
      </c>
      <c r="I11" s="98">
        <v>0.11</v>
      </c>
      <c r="K11" s="190"/>
      <c r="L11" s="190"/>
      <c r="M11" s="190"/>
      <c r="N11" s="190"/>
      <c r="O11" s="190"/>
      <c r="P11" s="190"/>
      <c r="Q11" s="191"/>
      <c r="R11" s="191"/>
      <c r="T11" s="22"/>
      <c r="U11" s="22"/>
      <c r="V11" s="22"/>
      <c r="W11" s="22"/>
      <c r="X11" s="22"/>
      <c r="Y11" s="22"/>
      <c r="Z11" s="22"/>
      <c r="AA11" s="212"/>
    </row>
    <row r="12" spans="1:27" ht="15.75" x14ac:dyDescent="0.25">
      <c r="A12" s="35" t="s">
        <v>265</v>
      </c>
      <c r="B12" s="113">
        <v>8650</v>
      </c>
      <c r="C12" s="113">
        <v>8195</v>
      </c>
      <c r="D12" s="149" t="s">
        <v>760</v>
      </c>
      <c r="E12" s="149" t="s">
        <v>760</v>
      </c>
      <c r="F12" s="113">
        <v>450</v>
      </c>
      <c r="G12" s="113">
        <v>5</v>
      </c>
      <c r="H12" s="98">
        <v>0.95</v>
      </c>
      <c r="I12" s="98">
        <v>0.05</v>
      </c>
      <c r="K12" s="190"/>
      <c r="L12" s="190"/>
      <c r="M12" s="190"/>
      <c r="N12" s="190"/>
      <c r="O12" s="190"/>
      <c r="P12" s="190"/>
      <c r="Q12" s="191"/>
      <c r="R12" s="191"/>
      <c r="T12" s="22"/>
      <c r="U12" s="22"/>
      <c r="V12" s="22"/>
      <c r="W12" s="22"/>
      <c r="X12" s="22"/>
      <c r="Y12" s="22"/>
      <c r="Z12" s="22"/>
      <c r="AA12" s="212"/>
    </row>
    <row r="13" spans="1:27" ht="15.75" x14ac:dyDescent="0.25">
      <c r="A13" s="35" t="s">
        <v>266</v>
      </c>
      <c r="B13" s="113">
        <v>18610</v>
      </c>
      <c r="C13" s="113">
        <v>17765</v>
      </c>
      <c r="D13" s="113">
        <v>100</v>
      </c>
      <c r="E13" s="113">
        <v>695</v>
      </c>
      <c r="F13" s="149" t="s">
        <v>542</v>
      </c>
      <c r="G13" s="113">
        <v>50</v>
      </c>
      <c r="H13" s="98">
        <v>0.95</v>
      </c>
      <c r="I13" s="98">
        <v>0.04</v>
      </c>
      <c r="K13" s="190"/>
      <c r="L13" s="190"/>
      <c r="M13" s="190"/>
      <c r="N13" s="190"/>
      <c r="O13" s="190"/>
      <c r="P13" s="190"/>
      <c r="Q13" s="191"/>
      <c r="R13" s="191"/>
      <c r="T13" s="22"/>
      <c r="U13" s="22"/>
      <c r="V13" s="22"/>
      <c r="W13" s="22"/>
      <c r="X13" s="22"/>
      <c r="Y13" s="22"/>
      <c r="Z13" s="22"/>
      <c r="AA13" s="212"/>
    </row>
    <row r="14" spans="1:27" ht="15.75" x14ac:dyDescent="0.25">
      <c r="A14" s="35" t="s">
        <v>267</v>
      </c>
      <c r="B14" s="113">
        <v>24935</v>
      </c>
      <c r="C14" s="113">
        <v>23580</v>
      </c>
      <c r="D14" s="113">
        <v>100</v>
      </c>
      <c r="E14" s="113">
        <v>1240</v>
      </c>
      <c r="F14" s="149" t="s">
        <v>543</v>
      </c>
      <c r="G14" s="113">
        <v>20</v>
      </c>
      <c r="H14" s="98">
        <v>0.95</v>
      </c>
      <c r="I14" s="98">
        <v>0.05</v>
      </c>
      <c r="K14" s="190"/>
      <c r="L14" s="190"/>
      <c r="M14" s="190"/>
      <c r="N14" s="190"/>
      <c r="O14" s="190"/>
      <c r="P14" s="190"/>
      <c r="Q14" s="191"/>
      <c r="R14" s="191"/>
      <c r="T14" s="22"/>
      <c r="U14" s="22"/>
      <c r="V14" s="22"/>
      <c r="W14" s="22"/>
      <c r="X14" s="22"/>
      <c r="Y14" s="22"/>
      <c r="Z14" s="22"/>
      <c r="AA14" s="212"/>
    </row>
    <row r="15" spans="1:27" ht="15.75" x14ac:dyDescent="0.25">
      <c r="A15" s="35" t="s">
        <v>268</v>
      </c>
      <c r="B15" s="113">
        <v>7730</v>
      </c>
      <c r="C15" s="113">
        <v>7175</v>
      </c>
      <c r="D15" s="113">
        <v>65</v>
      </c>
      <c r="E15" s="113">
        <v>480</v>
      </c>
      <c r="F15" s="149" t="s">
        <v>544</v>
      </c>
      <c r="G15" s="113">
        <v>10</v>
      </c>
      <c r="H15" s="98">
        <v>0.93</v>
      </c>
      <c r="I15" s="98">
        <v>7.0000000000000007E-2</v>
      </c>
      <c r="K15" s="190"/>
      <c r="L15" s="190"/>
      <c r="M15" s="190"/>
      <c r="N15" s="190"/>
      <c r="O15" s="190"/>
      <c r="P15" s="190"/>
      <c r="Q15" s="191"/>
      <c r="R15" s="191"/>
      <c r="T15" s="22"/>
      <c r="U15" s="22"/>
      <c r="V15" s="22"/>
      <c r="W15" s="22"/>
      <c r="X15" s="22"/>
      <c r="Y15" s="22"/>
      <c r="Z15" s="22"/>
      <c r="AA15" s="212"/>
    </row>
    <row r="16" spans="1:27" ht="15.75" x14ac:dyDescent="0.25">
      <c r="A16" s="35" t="s">
        <v>269</v>
      </c>
      <c r="B16" s="113">
        <v>10220</v>
      </c>
      <c r="C16" s="113">
        <v>9285</v>
      </c>
      <c r="D16" s="113">
        <v>90</v>
      </c>
      <c r="E16" s="113">
        <v>815</v>
      </c>
      <c r="F16" s="149" t="s">
        <v>545</v>
      </c>
      <c r="G16" s="113">
        <v>30</v>
      </c>
      <c r="H16" s="98">
        <v>0.91</v>
      </c>
      <c r="I16" s="98">
        <v>0.09</v>
      </c>
      <c r="K16" s="190"/>
      <c r="L16" s="190"/>
      <c r="M16" s="190"/>
      <c r="N16" s="190"/>
      <c r="O16" s="190"/>
      <c r="P16" s="190"/>
      <c r="Q16" s="191"/>
      <c r="R16" s="191"/>
      <c r="T16" s="22"/>
      <c r="U16" s="22"/>
      <c r="V16" s="22"/>
      <c r="W16" s="22"/>
      <c r="X16" s="22"/>
      <c r="Y16" s="22"/>
      <c r="Z16" s="22"/>
      <c r="AA16" s="212"/>
    </row>
    <row r="17" spans="1:27" ht="15.75" x14ac:dyDescent="0.25">
      <c r="A17" s="35" t="s">
        <v>270</v>
      </c>
      <c r="B17" s="113">
        <v>7035</v>
      </c>
      <c r="C17" s="113">
        <v>6125</v>
      </c>
      <c r="D17" s="113">
        <v>90</v>
      </c>
      <c r="E17" s="113">
        <v>795</v>
      </c>
      <c r="F17" s="149" t="s">
        <v>546</v>
      </c>
      <c r="G17" s="113">
        <v>30</v>
      </c>
      <c r="H17" s="98">
        <v>0.87</v>
      </c>
      <c r="I17" s="98">
        <v>0.13</v>
      </c>
      <c r="K17" s="190"/>
      <c r="L17" s="190"/>
      <c r="M17" s="190"/>
      <c r="N17" s="190"/>
      <c r="O17" s="190"/>
      <c r="P17" s="190"/>
      <c r="Q17" s="191"/>
      <c r="R17" s="191"/>
      <c r="T17" s="22"/>
      <c r="U17" s="22"/>
      <c r="V17" s="22"/>
      <c r="W17" s="22"/>
      <c r="X17" s="22"/>
      <c r="Y17" s="22"/>
      <c r="Z17" s="22"/>
      <c r="AA17" s="212"/>
    </row>
    <row r="18" spans="1:27" ht="15.75" x14ac:dyDescent="0.25">
      <c r="A18" s="35" t="s">
        <v>271</v>
      </c>
      <c r="B18" s="113">
        <v>7740</v>
      </c>
      <c r="C18" s="113">
        <v>6755</v>
      </c>
      <c r="D18" s="113">
        <v>75</v>
      </c>
      <c r="E18" s="113">
        <v>875</v>
      </c>
      <c r="F18" s="149" t="s">
        <v>547</v>
      </c>
      <c r="G18" s="113">
        <v>35</v>
      </c>
      <c r="H18" s="98">
        <v>0.87</v>
      </c>
      <c r="I18" s="98">
        <v>0.12</v>
      </c>
      <c r="K18" s="190"/>
      <c r="L18" s="190"/>
      <c r="M18" s="190"/>
      <c r="N18" s="190"/>
      <c r="O18" s="190"/>
      <c r="P18" s="190"/>
      <c r="Q18" s="191"/>
      <c r="R18" s="191"/>
      <c r="T18" s="22"/>
      <c r="U18" s="22"/>
      <c r="V18" s="22"/>
      <c r="W18" s="22"/>
      <c r="X18" s="22"/>
      <c r="Y18" s="22"/>
      <c r="Z18" s="22"/>
      <c r="AA18" s="212"/>
    </row>
    <row r="19" spans="1:27" ht="15.75" x14ac:dyDescent="0.25">
      <c r="A19" s="35" t="s">
        <v>272</v>
      </c>
      <c r="B19" s="113">
        <v>11470</v>
      </c>
      <c r="C19" s="113">
        <v>10555</v>
      </c>
      <c r="D19" s="113">
        <v>40</v>
      </c>
      <c r="E19" s="113">
        <v>860</v>
      </c>
      <c r="F19" s="149" t="s">
        <v>548</v>
      </c>
      <c r="G19" s="113">
        <v>15</v>
      </c>
      <c r="H19" s="98">
        <v>0.92</v>
      </c>
      <c r="I19" s="98">
        <v>0.08</v>
      </c>
      <c r="K19" s="190"/>
      <c r="L19" s="190"/>
      <c r="M19" s="190"/>
      <c r="N19" s="190"/>
      <c r="O19" s="190"/>
      <c r="P19" s="190"/>
      <c r="Q19" s="191"/>
      <c r="R19" s="191"/>
      <c r="T19" s="22"/>
      <c r="U19" s="22"/>
      <c r="V19" s="22"/>
      <c r="W19" s="22"/>
      <c r="X19" s="22"/>
      <c r="Y19" s="22"/>
      <c r="Z19" s="22"/>
      <c r="AA19" s="212"/>
    </row>
    <row r="20" spans="1:27" ht="18.95" customHeight="1" x14ac:dyDescent="0.25">
      <c r="A20" s="35" t="s">
        <v>273</v>
      </c>
      <c r="B20" s="113">
        <v>4875</v>
      </c>
      <c r="C20" s="113">
        <v>4330</v>
      </c>
      <c r="D20" s="113">
        <v>60</v>
      </c>
      <c r="E20" s="113">
        <v>480</v>
      </c>
      <c r="F20" s="149" t="s">
        <v>549</v>
      </c>
      <c r="G20" s="113">
        <v>5</v>
      </c>
      <c r="H20" s="98">
        <v>0.89</v>
      </c>
      <c r="I20" s="98">
        <v>0.11</v>
      </c>
      <c r="K20" s="190"/>
      <c r="L20" s="190"/>
      <c r="M20" s="190"/>
      <c r="N20" s="190"/>
      <c r="O20" s="190"/>
      <c r="P20" s="190"/>
      <c r="Q20" s="191"/>
      <c r="R20" s="191"/>
      <c r="T20" s="22"/>
      <c r="U20" s="22"/>
      <c r="V20" s="22"/>
      <c r="W20" s="22"/>
      <c r="X20" s="22"/>
      <c r="Y20" s="22"/>
      <c r="Z20" s="22"/>
      <c r="AA20" s="212"/>
    </row>
    <row r="21" spans="1:27" ht="17.100000000000001" customHeight="1" x14ac:dyDescent="0.25">
      <c r="A21" s="80" t="s">
        <v>274</v>
      </c>
      <c r="B21" s="113">
        <v>7375</v>
      </c>
      <c r="C21" s="113">
        <v>6615</v>
      </c>
      <c r="D21" s="113">
        <v>65</v>
      </c>
      <c r="E21" s="113">
        <v>685</v>
      </c>
      <c r="F21" s="149" t="s">
        <v>550</v>
      </c>
      <c r="G21" s="113">
        <v>10</v>
      </c>
      <c r="H21" s="98">
        <v>0.9</v>
      </c>
      <c r="I21" s="98">
        <v>0.1</v>
      </c>
      <c r="K21" s="190"/>
      <c r="L21" s="190"/>
      <c r="M21" s="190"/>
      <c r="N21" s="190"/>
      <c r="O21" s="190"/>
      <c r="P21" s="190"/>
      <c r="Q21" s="191"/>
      <c r="R21" s="191"/>
      <c r="T21" s="22"/>
      <c r="U21" s="22"/>
      <c r="V21" s="22"/>
      <c r="W21" s="22"/>
      <c r="X21" s="22"/>
      <c r="Y21" s="22"/>
      <c r="Z21" s="22"/>
      <c r="AA21" s="212"/>
    </row>
    <row r="22" spans="1:27" ht="15.75" x14ac:dyDescent="0.25">
      <c r="A22" s="80" t="s">
        <v>262</v>
      </c>
      <c r="B22" s="113">
        <v>13760</v>
      </c>
      <c r="C22" s="113">
        <v>12290</v>
      </c>
      <c r="D22" s="113">
        <v>90</v>
      </c>
      <c r="E22" s="113">
        <v>1375</v>
      </c>
      <c r="F22" s="149" t="s">
        <v>551</v>
      </c>
      <c r="G22" s="113">
        <v>5</v>
      </c>
      <c r="H22" s="98">
        <v>0.89</v>
      </c>
      <c r="I22" s="98">
        <v>0.11</v>
      </c>
      <c r="K22" s="190"/>
      <c r="L22" s="190"/>
      <c r="M22" s="190"/>
      <c r="N22" s="190"/>
      <c r="O22" s="190"/>
      <c r="P22" s="190"/>
      <c r="Q22" s="191"/>
      <c r="R22" s="191"/>
      <c r="T22" s="22"/>
      <c r="U22" s="22"/>
      <c r="V22" s="22"/>
      <c r="W22" s="22"/>
      <c r="X22" s="22"/>
      <c r="Y22" s="22"/>
      <c r="Z22" s="22"/>
      <c r="AA22" s="212"/>
    </row>
    <row r="23" spans="1:27" ht="15.75" x14ac:dyDescent="0.25">
      <c r="A23" s="80" t="s">
        <v>275</v>
      </c>
      <c r="B23" s="113">
        <v>5670</v>
      </c>
      <c r="C23" s="113">
        <v>5160</v>
      </c>
      <c r="D23" s="113">
        <v>45</v>
      </c>
      <c r="E23" s="113">
        <v>460</v>
      </c>
      <c r="F23" s="149" t="s">
        <v>552</v>
      </c>
      <c r="G23" s="113">
        <v>5</v>
      </c>
      <c r="H23" s="98">
        <v>0.91</v>
      </c>
      <c r="I23" s="98">
        <v>0.09</v>
      </c>
      <c r="K23" s="190"/>
      <c r="L23" s="190"/>
      <c r="M23" s="190"/>
      <c r="N23" s="190"/>
      <c r="O23" s="190"/>
      <c r="P23" s="190"/>
      <c r="Q23" s="191"/>
      <c r="R23" s="191"/>
      <c r="T23" s="22"/>
      <c r="U23" s="22"/>
      <c r="V23" s="22"/>
      <c r="W23" s="22"/>
      <c r="X23" s="22"/>
      <c r="Y23" s="22"/>
      <c r="Z23" s="22"/>
      <c r="AA23" s="212"/>
    </row>
    <row r="24" spans="1:27" ht="15.75" x14ac:dyDescent="0.25">
      <c r="A24" s="80" t="s">
        <v>276</v>
      </c>
      <c r="B24" s="113">
        <v>5735</v>
      </c>
      <c r="C24" s="113">
        <v>5610</v>
      </c>
      <c r="D24" s="113">
        <v>65</v>
      </c>
      <c r="E24" s="113">
        <v>60</v>
      </c>
      <c r="F24" s="149" t="s">
        <v>553</v>
      </c>
      <c r="G24" s="113">
        <v>0</v>
      </c>
      <c r="H24" s="98">
        <v>0.98</v>
      </c>
      <c r="I24" s="98">
        <v>0.02</v>
      </c>
      <c r="K24" s="190"/>
      <c r="L24" s="190"/>
      <c r="M24" s="190"/>
      <c r="N24" s="190"/>
      <c r="O24" s="190"/>
      <c r="P24" s="190"/>
      <c r="Q24" s="191"/>
      <c r="R24" s="191"/>
      <c r="T24" s="22"/>
      <c r="U24" s="22"/>
      <c r="V24" s="22"/>
      <c r="W24" s="22"/>
      <c r="X24" s="22"/>
      <c r="Y24" s="22"/>
      <c r="Z24" s="22"/>
      <c r="AA24" s="212"/>
    </row>
    <row r="25" spans="1:27" ht="15.75" x14ac:dyDescent="0.25">
      <c r="A25" s="80" t="s">
        <v>277</v>
      </c>
      <c r="B25" s="113">
        <v>6830</v>
      </c>
      <c r="C25" s="113">
        <v>6700</v>
      </c>
      <c r="D25" s="113">
        <v>80</v>
      </c>
      <c r="E25" s="113">
        <v>50</v>
      </c>
      <c r="F25" s="149" t="s">
        <v>554</v>
      </c>
      <c r="G25" s="113">
        <v>0</v>
      </c>
      <c r="H25" s="98">
        <v>0.98</v>
      </c>
      <c r="I25" s="98">
        <v>0.02</v>
      </c>
      <c r="K25" s="190"/>
      <c r="L25" s="190"/>
      <c r="M25" s="190"/>
      <c r="N25" s="190"/>
      <c r="O25" s="190"/>
      <c r="P25" s="190"/>
      <c r="Q25" s="191"/>
      <c r="R25" s="191"/>
      <c r="T25" s="22"/>
      <c r="U25" s="22"/>
      <c r="V25" s="22"/>
      <c r="W25" s="22"/>
      <c r="X25" s="22"/>
      <c r="Y25" s="22"/>
      <c r="Z25" s="22"/>
      <c r="AA25" s="212"/>
    </row>
    <row r="26" spans="1:27" ht="15.75" x14ac:dyDescent="0.25">
      <c r="A26" s="80" t="s">
        <v>278</v>
      </c>
      <c r="B26" s="113">
        <v>25580</v>
      </c>
      <c r="C26" s="113">
        <v>24795</v>
      </c>
      <c r="D26" s="113">
        <v>555</v>
      </c>
      <c r="E26" s="113">
        <v>225</v>
      </c>
      <c r="F26" s="149" t="s">
        <v>555</v>
      </c>
      <c r="G26" s="113">
        <v>5</v>
      </c>
      <c r="H26" s="98">
        <v>0.97</v>
      </c>
      <c r="I26" s="98">
        <v>0.03</v>
      </c>
      <c r="K26" s="190"/>
      <c r="L26" s="190"/>
      <c r="M26" s="190"/>
      <c r="N26" s="190"/>
      <c r="O26" s="190"/>
      <c r="P26" s="190"/>
      <c r="Q26" s="191"/>
      <c r="R26" s="191"/>
      <c r="T26" s="22"/>
      <c r="U26" s="22"/>
      <c r="V26" s="22"/>
      <c r="W26" s="22"/>
      <c r="X26" s="22"/>
      <c r="Y26" s="22"/>
      <c r="Z26" s="22"/>
      <c r="AA26" s="212"/>
    </row>
    <row r="27" spans="1:27" ht="15.75" x14ac:dyDescent="0.25">
      <c r="A27" s="80" t="s">
        <v>279</v>
      </c>
      <c r="B27" s="113">
        <v>8765</v>
      </c>
      <c r="C27" s="113">
        <v>8270</v>
      </c>
      <c r="D27" s="113">
        <v>210</v>
      </c>
      <c r="E27" s="113">
        <v>285</v>
      </c>
      <c r="F27" s="149" t="s">
        <v>556</v>
      </c>
      <c r="G27" s="113">
        <v>5</v>
      </c>
      <c r="H27" s="98">
        <v>0.94</v>
      </c>
      <c r="I27" s="98">
        <v>0.06</v>
      </c>
      <c r="K27" s="190"/>
      <c r="L27" s="190"/>
      <c r="M27" s="190"/>
      <c r="N27" s="190"/>
      <c r="O27" s="190"/>
      <c r="P27" s="190"/>
      <c r="Q27" s="191"/>
      <c r="R27" s="191"/>
      <c r="T27" s="22"/>
      <c r="U27" s="22"/>
      <c r="V27" s="22"/>
      <c r="W27" s="22"/>
      <c r="X27" s="22"/>
      <c r="Y27" s="22"/>
      <c r="Z27" s="22"/>
      <c r="AA27" s="212"/>
    </row>
    <row r="28" spans="1:27" ht="15.75" x14ac:dyDescent="0.25">
      <c r="A28" s="80" t="s">
        <v>280</v>
      </c>
      <c r="B28" s="113">
        <v>9805</v>
      </c>
      <c r="C28" s="113">
        <v>9100</v>
      </c>
      <c r="D28" s="113">
        <v>230</v>
      </c>
      <c r="E28" s="113">
        <v>470</v>
      </c>
      <c r="F28" s="149" t="s">
        <v>557</v>
      </c>
      <c r="G28" s="113">
        <v>5</v>
      </c>
      <c r="H28" s="98">
        <v>0.93</v>
      </c>
      <c r="I28" s="98">
        <v>7.0000000000000007E-2</v>
      </c>
      <c r="K28" s="190"/>
      <c r="L28" s="190"/>
      <c r="M28" s="190"/>
      <c r="N28" s="190"/>
      <c r="O28" s="190"/>
      <c r="P28" s="190"/>
      <c r="Q28" s="191"/>
      <c r="R28" s="191"/>
      <c r="T28" s="22"/>
      <c r="U28" s="22"/>
      <c r="V28" s="22"/>
      <c r="W28" s="22"/>
      <c r="X28" s="22"/>
      <c r="Y28" s="22"/>
      <c r="Z28" s="22"/>
      <c r="AA28" s="212"/>
    </row>
    <row r="29" spans="1:27" ht="15.75" x14ac:dyDescent="0.25">
      <c r="A29" s="80" t="s">
        <v>281</v>
      </c>
      <c r="B29" s="113">
        <v>7980</v>
      </c>
      <c r="C29" s="113">
        <v>7135</v>
      </c>
      <c r="D29" s="113">
        <v>195</v>
      </c>
      <c r="E29" s="113">
        <v>640</v>
      </c>
      <c r="F29" s="149" t="s">
        <v>558</v>
      </c>
      <c r="G29" s="113">
        <v>5</v>
      </c>
      <c r="H29" s="98">
        <v>0.89</v>
      </c>
      <c r="I29" s="98">
        <v>0.1</v>
      </c>
      <c r="K29" s="190"/>
      <c r="L29" s="190"/>
      <c r="M29" s="190"/>
      <c r="N29" s="190"/>
      <c r="O29" s="190"/>
      <c r="P29" s="190"/>
      <c r="Q29" s="191"/>
      <c r="R29" s="191"/>
      <c r="T29" s="22"/>
      <c r="U29" s="22"/>
      <c r="V29" s="22"/>
      <c r="W29" s="22"/>
      <c r="X29" s="22"/>
      <c r="Y29" s="22"/>
      <c r="Z29" s="22"/>
      <c r="AA29" s="212"/>
    </row>
    <row r="30" spans="1:27" ht="15.75" x14ac:dyDescent="0.25">
      <c r="A30" s="80" t="s">
        <v>282</v>
      </c>
      <c r="B30" s="113">
        <v>5190</v>
      </c>
      <c r="C30" s="113">
        <v>4575</v>
      </c>
      <c r="D30" s="113">
        <v>190</v>
      </c>
      <c r="E30" s="113">
        <v>415</v>
      </c>
      <c r="F30" s="149" t="s">
        <v>559</v>
      </c>
      <c r="G30" s="113">
        <v>10</v>
      </c>
      <c r="H30" s="98">
        <v>0.88</v>
      </c>
      <c r="I30" s="98">
        <v>0.12</v>
      </c>
      <c r="K30" s="190"/>
      <c r="L30" s="190"/>
      <c r="M30" s="190"/>
      <c r="N30" s="190"/>
      <c r="O30" s="190"/>
      <c r="P30" s="190"/>
      <c r="Q30" s="191"/>
      <c r="R30" s="191"/>
      <c r="T30" s="22"/>
      <c r="U30" s="22"/>
      <c r="V30" s="22"/>
      <c r="W30" s="22"/>
      <c r="X30" s="22"/>
      <c r="Y30" s="22"/>
      <c r="Z30" s="22"/>
      <c r="AA30" s="212"/>
    </row>
    <row r="31" spans="1:27" ht="15.75" x14ac:dyDescent="0.25">
      <c r="A31" s="80" t="s">
        <v>283</v>
      </c>
      <c r="B31" s="113">
        <v>13615</v>
      </c>
      <c r="C31" s="113">
        <v>12175</v>
      </c>
      <c r="D31" s="113">
        <v>345</v>
      </c>
      <c r="E31" s="113">
        <v>1075</v>
      </c>
      <c r="F31" s="149" t="s">
        <v>560</v>
      </c>
      <c r="G31" s="113">
        <v>15</v>
      </c>
      <c r="H31" s="98">
        <v>0.89</v>
      </c>
      <c r="I31" s="98">
        <v>0.1</v>
      </c>
      <c r="K31" s="190"/>
      <c r="L31" s="190"/>
      <c r="M31" s="190"/>
      <c r="N31" s="190"/>
      <c r="O31" s="190"/>
      <c r="P31" s="190"/>
      <c r="Q31" s="191"/>
      <c r="R31" s="191"/>
      <c r="T31" s="22"/>
      <c r="U31" s="22"/>
      <c r="V31" s="22"/>
      <c r="W31" s="22"/>
      <c r="X31" s="22"/>
      <c r="Y31" s="22"/>
      <c r="Z31" s="22"/>
      <c r="AA31" s="212"/>
    </row>
    <row r="32" spans="1:27" ht="15.75" x14ac:dyDescent="0.25">
      <c r="A32" s="80" t="s">
        <v>284</v>
      </c>
      <c r="B32" s="113">
        <v>5985</v>
      </c>
      <c r="C32" s="113">
        <v>5405</v>
      </c>
      <c r="D32" s="113">
        <v>125</v>
      </c>
      <c r="E32" s="113">
        <v>445</v>
      </c>
      <c r="F32" s="149" t="s">
        <v>561</v>
      </c>
      <c r="G32" s="113">
        <v>10</v>
      </c>
      <c r="H32" s="98">
        <v>0.9</v>
      </c>
      <c r="I32" s="98">
        <v>0.1</v>
      </c>
      <c r="K32" s="190"/>
      <c r="L32" s="190"/>
      <c r="M32" s="190"/>
      <c r="N32" s="190"/>
      <c r="O32" s="190"/>
      <c r="P32" s="190"/>
      <c r="Q32" s="191"/>
      <c r="R32" s="191"/>
      <c r="T32" s="22"/>
      <c r="U32" s="22"/>
      <c r="V32" s="22"/>
      <c r="W32" s="22"/>
      <c r="X32" s="22"/>
      <c r="Y32" s="22"/>
      <c r="Z32" s="22"/>
      <c r="AA32" s="212"/>
    </row>
    <row r="33" spans="1:31" ht="15.75" x14ac:dyDescent="0.25">
      <c r="A33" s="80" t="s">
        <v>285</v>
      </c>
      <c r="B33" s="113">
        <v>10080</v>
      </c>
      <c r="C33" s="113">
        <v>9330</v>
      </c>
      <c r="D33" s="113">
        <v>175</v>
      </c>
      <c r="E33" s="113">
        <v>565</v>
      </c>
      <c r="F33" s="149" t="s">
        <v>562</v>
      </c>
      <c r="G33" s="113">
        <v>10</v>
      </c>
      <c r="H33" s="98">
        <v>0.93</v>
      </c>
      <c r="I33" s="98">
        <v>7.0000000000000007E-2</v>
      </c>
      <c r="K33" s="190"/>
      <c r="L33" s="190"/>
      <c r="M33" s="190"/>
      <c r="N33" s="190"/>
      <c r="O33" s="190"/>
      <c r="P33" s="190"/>
      <c r="Q33" s="191"/>
      <c r="R33" s="191"/>
      <c r="T33" s="22"/>
      <c r="U33" s="22"/>
      <c r="V33" s="22"/>
      <c r="W33" s="22"/>
      <c r="X33" s="22"/>
      <c r="Y33" s="22"/>
      <c r="Z33" s="22"/>
      <c r="AA33" s="212"/>
    </row>
    <row r="34" spans="1:31" ht="15.75" x14ac:dyDescent="0.25">
      <c r="A34" s="184" t="s">
        <v>263</v>
      </c>
      <c r="B34" s="113">
        <v>13520</v>
      </c>
      <c r="C34" s="113">
        <v>12495</v>
      </c>
      <c r="D34" s="113">
        <v>210</v>
      </c>
      <c r="E34" s="113">
        <v>805</v>
      </c>
      <c r="F34" s="149" t="s">
        <v>563</v>
      </c>
      <c r="G34" s="113">
        <v>10</v>
      </c>
      <c r="H34" s="98">
        <v>0.92</v>
      </c>
      <c r="I34" s="98">
        <v>0.08</v>
      </c>
      <c r="K34" s="190"/>
      <c r="L34" s="190"/>
      <c r="M34" s="190"/>
      <c r="N34" s="190"/>
      <c r="O34" s="190"/>
      <c r="P34" s="190"/>
      <c r="Q34" s="191"/>
      <c r="R34" s="191"/>
      <c r="T34" s="22"/>
      <c r="U34" s="22"/>
      <c r="V34" s="22"/>
      <c r="W34" s="22"/>
      <c r="X34" s="22"/>
      <c r="Y34" s="22"/>
      <c r="Z34" s="22"/>
      <c r="AA34" s="212"/>
    </row>
    <row r="35" spans="1:31" ht="15.75" x14ac:dyDescent="0.25">
      <c r="A35" s="80" t="s">
        <v>286</v>
      </c>
      <c r="B35" s="113">
        <v>5520</v>
      </c>
      <c r="C35" s="113">
        <v>4925</v>
      </c>
      <c r="D35" s="113">
        <v>70</v>
      </c>
      <c r="E35" s="113">
        <v>510</v>
      </c>
      <c r="F35" s="149" t="s">
        <v>564</v>
      </c>
      <c r="G35" s="113">
        <v>15</v>
      </c>
      <c r="H35" s="98">
        <v>0.89</v>
      </c>
      <c r="I35" s="98">
        <v>0.11</v>
      </c>
      <c r="K35" s="190"/>
      <c r="L35" s="190"/>
      <c r="M35" s="190"/>
      <c r="N35" s="190"/>
      <c r="O35" s="190"/>
      <c r="P35" s="190"/>
      <c r="Q35" s="191"/>
      <c r="R35" s="191"/>
      <c r="T35" s="22"/>
      <c r="U35" s="22"/>
      <c r="V35" s="22"/>
      <c r="W35" s="22"/>
      <c r="X35" s="22"/>
      <c r="Y35" s="22"/>
      <c r="Z35" s="22"/>
      <c r="AA35" s="212"/>
    </row>
    <row r="36" spans="1:31" ht="15.75" x14ac:dyDescent="0.25">
      <c r="A36" s="80" t="s">
        <v>287</v>
      </c>
      <c r="B36" s="113">
        <v>4745</v>
      </c>
      <c r="C36" s="113">
        <v>4180</v>
      </c>
      <c r="D36" s="113">
        <v>65</v>
      </c>
      <c r="E36" s="113">
        <v>490</v>
      </c>
      <c r="F36" s="149" t="s">
        <v>686</v>
      </c>
      <c r="G36" s="113">
        <v>10</v>
      </c>
      <c r="H36" s="98">
        <v>0.88</v>
      </c>
      <c r="I36" s="98">
        <v>0.12</v>
      </c>
      <c r="K36" s="190"/>
      <c r="L36" s="190"/>
      <c r="M36" s="190"/>
      <c r="N36" s="190"/>
      <c r="O36" s="190"/>
      <c r="P36" s="190"/>
      <c r="Q36" s="191"/>
      <c r="R36" s="191"/>
      <c r="T36" s="22"/>
      <c r="U36" s="22"/>
      <c r="V36" s="22"/>
      <c r="W36" s="22"/>
      <c r="X36" s="22"/>
      <c r="Y36" s="22"/>
      <c r="Z36" s="22"/>
      <c r="AA36" s="212"/>
    </row>
    <row r="37" spans="1:31" s="22" customFormat="1" ht="15.75" x14ac:dyDescent="0.25">
      <c r="A37" s="82" t="s">
        <v>288</v>
      </c>
      <c r="B37" s="193">
        <v>5475</v>
      </c>
      <c r="C37" s="193">
        <v>4880</v>
      </c>
      <c r="D37" s="193">
        <v>80</v>
      </c>
      <c r="E37" s="193">
        <v>505</v>
      </c>
      <c r="F37" s="149" t="s">
        <v>687</v>
      </c>
      <c r="G37" s="193">
        <v>10</v>
      </c>
      <c r="H37" s="98">
        <v>0.89</v>
      </c>
      <c r="I37" s="194">
        <v>0.11</v>
      </c>
      <c r="K37" s="190"/>
      <c r="L37" s="190"/>
      <c r="M37" s="190"/>
      <c r="N37" s="190"/>
      <c r="O37" s="190"/>
      <c r="P37" s="190"/>
      <c r="Q37" s="191"/>
      <c r="R37" s="191"/>
      <c r="AA37" s="212"/>
    </row>
    <row r="38" spans="1:31" s="22" customFormat="1" ht="15.75" x14ac:dyDescent="0.25">
      <c r="A38" s="185" t="s">
        <v>683</v>
      </c>
      <c r="B38" s="193">
        <v>17485</v>
      </c>
      <c r="C38" s="193">
        <v>15725</v>
      </c>
      <c r="D38" s="193">
        <v>300</v>
      </c>
      <c r="E38" s="193">
        <v>1445</v>
      </c>
      <c r="F38" s="149" t="s">
        <v>688</v>
      </c>
      <c r="G38" s="193">
        <v>10</v>
      </c>
      <c r="H38" s="98">
        <v>0.9</v>
      </c>
      <c r="I38" s="194">
        <v>0.1</v>
      </c>
      <c r="K38" s="190"/>
      <c r="L38" s="190"/>
      <c r="M38" s="190"/>
      <c r="N38" s="190"/>
      <c r="O38" s="190"/>
      <c r="P38" s="190"/>
      <c r="Q38" s="191"/>
      <c r="R38" s="191"/>
      <c r="AA38" s="212"/>
    </row>
    <row r="39" spans="1:31" ht="15.75" x14ac:dyDescent="0.25">
      <c r="A39" s="185" t="s">
        <v>684</v>
      </c>
      <c r="B39" s="193">
        <v>6730</v>
      </c>
      <c r="C39" s="193">
        <v>5820</v>
      </c>
      <c r="D39" s="193">
        <v>155</v>
      </c>
      <c r="E39" s="193">
        <v>750</v>
      </c>
      <c r="F39" s="149" t="s">
        <v>756</v>
      </c>
      <c r="G39" s="193">
        <v>5</v>
      </c>
      <c r="H39" s="98">
        <v>0.86</v>
      </c>
      <c r="I39" s="194">
        <v>0.13</v>
      </c>
      <c r="J39" s="57"/>
      <c r="K39" s="190"/>
      <c r="L39" s="190"/>
      <c r="M39" s="190"/>
      <c r="N39" s="190"/>
      <c r="O39" s="190"/>
      <c r="P39" s="190"/>
      <c r="Q39" s="191"/>
      <c r="R39" s="191"/>
      <c r="T39" s="22"/>
      <c r="U39" s="22"/>
      <c r="V39" s="22"/>
      <c r="W39" s="22"/>
      <c r="X39" s="22"/>
      <c r="Y39" s="22"/>
      <c r="Z39" s="22"/>
      <c r="AA39" s="212"/>
    </row>
    <row r="40" spans="1:31" ht="15.75" x14ac:dyDescent="0.25">
      <c r="A40" s="195" t="s">
        <v>685</v>
      </c>
      <c r="B40" s="113">
        <v>7200</v>
      </c>
      <c r="C40" s="113">
        <v>6050</v>
      </c>
      <c r="D40" s="113">
        <v>175</v>
      </c>
      <c r="E40" s="113">
        <v>970</v>
      </c>
      <c r="F40" s="149" t="s">
        <v>757</v>
      </c>
      <c r="G40" s="113">
        <v>5</v>
      </c>
      <c r="H40" s="98">
        <v>0.84</v>
      </c>
      <c r="I40" s="98">
        <v>0.16</v>
      </c>
      <c r="J40" s="57"/>
      <c r="K40" s="190"/>
      <c r="L40" s="190"/>
      <c r="M40" s="190"/>
      <c r="N40" s="190"/>
      <c r="O40" s="190"/>
      <c r="P40" s="190"/>
      <c r="Q40" s="191"/>
      <c r="R40" s="191"/>
      <c r="T40" s="22"/>
      <c r="U40" s="22"/>
      <c r="V40" s="22"/>
      <c r="W40" s="22"/>
      <c r="X40" s="22"/>
      <c r="Y40" s="22"/>
      <c r="Z40" s="22"/>
      <c r="AA40" s="212"/>
    </row>
    <row r="41" spans="1:31" s="22" customFormat="1" ht="15.75" x14ac:dyDescent="0.25">
      <c r="A41" s="82" t="s">
        <v>742</v>
      </c>
      <c r="B41" s="193">
        <v>5250</v>
      </c>
      <c r="C41" s="193">
        <v>4440</v>
      </c>
      <c r="D41" s="193">
        <v>120</v>
      </c>
      <c r="E41" s="193">
        <v>685</v>
      </c>
      <c r="F41" s="149" t="s">
        <v>758</v>
      </c>
      <c r="G41" s="193">
        <v>0</v>
      </c>
      <c r="H41" s="98">
        <v>0.85</v>
      </c>
      <c r="I41" s="194">
        <v>0.15</v>
      </c>
      <c r="K41" s="190"/>
      <c r="L41" s="190"/>
      <c r="M41" s="190"/>
      <c r="N41" s="190"/>
      <c r="O41" s="190"/>
      <c r="P41" s="190"/>
      <c r="Q41" s="191"/>
      <c r="R41" s="191"/>
      <c r="S41" s="198"/>
      <c r="AA41" s="212"/>
      <c r="AB41" s="208"/>
      <c r="AC41" s="208"/>
      <c r="AD41" s="208"/>
      <c r="AE41" s="208"/>
    </row>
    <row r="42" spans="1:31" s="22" customFormat="1" ht="15.75" x14ac:dyDescent="0.25">
      <c r="A42" s="185" t="s">
        <v>743</v>
      </c>
      <c r="B42" s="193">
        <v>5270</v>
      </c>
      <c r="C42" s="193">
        <v>4515</v>
      </c>
      <c r="D42" s="193">
        <v>110</v>
      </c>
      <c r="E42" s="193">
        <v>640</v>
      </c>
      <c r="F42" s="149" t="s">
        <v>761</v>
      </c>
      <c r="G42" s="193">
        <v>0</v>
      </c>
      <c r="H42" s="98">
        <v>0.86</v>
      </c>
      <c r="I42" s="194">
        <v>0.14000000000000001</v>
      </c>
      <c r="K42" s="190"/>
      <c r="L42" s="190"/>
      <c r="M42" s="190"/>
      <c r="N42" s="190"/>
      <c r="O42" s="190"/>
      <c r="P42" s="190"/>
      <c r="Q42" s="191"/>
      <c r="R42" s="191"/>
      <c r="S42" s="198"/>
      <c r="AA42" s="212"/>
      <c r="AB42" s="208"/>
      <c r="AC42" s="208"/>
      <c r="AD42" s="208"/>
      <c r="AE42" s="208"/>
    </row>
    <row r="43" spans="1:31" s="22" customFormat="1" ht="15.75" x14ac:dyDescent="0.25">
      <c r="A43" s="185" t="s">
        <v>744</v>
      </c>
      <c r="B43" s="193">
        <v>5610</v>
      </c>
      <c r="C43" s="193">
        <v>4770</v>
      </c>
      <c r="D43" s="193">
        <v>125</v>
      </c>
      <c r="E43" s="193">
        <v>710</v>
      </c>
      <c r="F43" s="149" t="s">
        <v>762</v>
      </c>
      <c r="G43" s="193">
        <v>0</v>
      </c>
      <c r="H43" s="98">
        <v>0.85</v>
      </c>
      <c r="I43" s="194">
        <v>0.15</v>
      </c>
      <c r="J43" s="77"/>
      <c r="K43" s="190"/>
      <c r="L43" s="190"/>
      <c r="M43" s="190"/>
      <c r="N43" s="190"/>
      <c r="O43" s="190"/>
      <c r="P43" s="190"/>
      <c r="Q43" s="191"/>
      <c r="R43" s="191"/>
      <c r="S43" s="198"/>
      <c r="AA43" s="212"/>
      <c r="AB43" s="208"/>
      <c r="AC43" s="208"/>
      <c r="AD43" s="208"/>
      <c r="AE43" s="208"/>
    </row>
    <row r="44" spans="1:31" s="22" customFormat="1" ht="15.75" x14ac:dyDescent="0.25">
      <c r="A44" s="145" t="s">
        <v>8</v>
      </c>
      <c r="B44" s="134"/>
      <c r="C44" s="134"/>
      <c r="D44" s="77"/>
      <c r="E44" s="77"/>
      <c r="F44" s="77"/>
      <c r="G44" s="77"/>
      <c r="H44" s="77"/>
      <c r="I44" s="77"/>
      <c r="J44" s="77"/>
      <c r="K44" s="77"/>
      <c r="L44" s="77"/>
      <c r="M44" s="77"/>
      <c r="N44" s="77"/>
    </row>
    <row r="45" spans="1:31" ht="18" customHeight="1" x14ac:dyDescent="0.25">
      <c r="A45" s="45" t="s">
        <v>596</v>
      </c>
      <c r="B45" s="135"/>
      <c r="C45" s="135"/>
      <c r="D45" s="135"/>
      <c r="E45" s="135"/>
      <c r="F45" s="135"/>
      <c r="G45" s="135"/>
      <c r="H45" s="174"/>
      <c r="I45" s="175"/>
      <c r="J45" s="58"/>
      <c r="K45" s="58"/>
      <c r="L45" s="58"/>
      <c r="M45" s="58"/>
      <c r="N45" s="58"/>
    </row>
    <row r="46" spans="1:31" ht="15.75" x14ac:dyDescent="0.25">
      <c r="A46" s="45" t="s">
        <v>597</v>
      </c>
      <c r="B46" s="45"/>
      <c r="C46" s="45"/>
      <c r="D46" s="45"/>
      <c r="E46" s="45"/>
      <c r="F46" s="45"/>
      <c r="G46" s="45"/>
      <c r="H46" s="45"/>
      <c r="I46" s="58"/>
      <c r="J46" s="59"/>
      <c r="K46" s="59"/>
      <c r="L46" s="59"/>
      <c r="M46" s="59"/>
      <c r="N46" s="59"/>
    </row>
    <row r="47" spans="1:31" ht="208.5" customHeight="1" x14ac:dyDescent="0.25">
      <c r="A47" s="44" t="s">
        <v>598</v>
      </c>
      <c r="B47" s="44"/>
      <c r="C47" s="44"/>
      <c r="D47" s="44"/>
      <c r="E47" s="44"/>
      <c r="F47" s="44"/>
      <c r="G47" s="44"/>
      <c r="H47" s="44"/>
      <c r="I47" s="59"/>
      <c r="J47" s="57"/>
      <c r="K47" s="57"/>
      <c r="L47" s="57"/>
      <c r="M47" s="57"/>
      <c r="N47" s="57"/>
    </row>
    <row r="48" spans="1:31" ht="15.75" x14ac:dyDescent="0.25">
      <c r="A48" s="45" t="s">
        <v>599</v>
      </c>
      <c r="B48" s="45"/>
      <c r="C48" s="45"/>
      <c r="D48" s="45"/>
      <c r="E48" s="45"/>
      <c r="F48" s="45"/>
      <c r="G48" s="45"/>
      <c r="H48" s="45"/>
      <c r="I48" s="57"/>
    </row>
    <row r="49" spans="1:8" ht="15.75" x14ac:dyDescent="0.25">
      <c r="A49" s="45"/>
      <c r="B49" s="45"/>
      <c r="C49" s="45"/>
      <c r="D49" s="45"/>
      <c r="E49" s="45"/>
      <c r="F49" s="45"/>
      <c r="G49" s="45"/>
      <c r="H49" s="45"/>
    </row>
    <row r="50" spans="1:8" ht="15.75" x14ac:dyDescent="0.25">
      <c r="A50" s="45"/>
      <c r="B50" s="44"/>
      <c r="C50" s="44"/>
      <c r="D50" s="44"/>
      <c r="E50" s="44"/>
      <c r="F50" s="44"/>
      <c r="G50" s="44"/>
      <c r="H50" s="44"/>
    </row>
    <row r="51" spans="1:8" ht="15.75" x14ac:dyDescent="0.25">
      <c r="A51" s="45"/>
      <c r="B51" s="44"/>
      <c r="C51" s="44"/>
      <c r="D51" s="44"/>
      <c r="E51" s="44"/>
      <c r="F51" s="44"/>
      <c r="G51" s="44"/>
      <c r="H51" s="44"/>
    </row>
    <row r="52" spans="1:8" ht="15.75" x14ac:dyDescent="0.25">
      <c r="A52" s="45"/>
      <c r="B52" s="44"/>
      <c r="C52" s="44"/>
      <c r="D52" s="44"/>
      <c r="E52" s="44"/>
      <c r="F52" s="44"/>
      <c r="G52" s="44"/>
      <c r="H52" s="44"/>
    </row>
    <row r="53" spans="1:8" ht="15.75" x14ac:dyDescent="0.25">
      <c r="A53" s="45"/>
      <c r="B53" s="44"/>
      <c r="C53" s="44"/>
      <c r="D53" s="44"/>
      <c r="E53" s="44"/>
      <c r="F53" s="44"/>
      <c r="G53" s="44"/>
      <c r="H53" s="44"/>
    </row>
    <row r="54" spans="1:8" ht="15.75" x14ac:dyDescent="0.25">
      <c r="A54" s="45"/>
      <c r="B54" s="44"/>
      <c r="C54" s="44"/>
      <c r="D54" s="44"/>
      <c r="E54" s="44"/>
      <c r="F54" s="44"/>
      <c r="G54" s="44"/>
      <c r="H54" s="44"/>
    </row>
    <row r="55" spans="1:8" ht="15.75" x14ac:dyDescent="0.25">
      <c r="A55" s="45"/>
      <c r="B55" s="45"/>
      <c r="C55" s="45"/>
      <c r="D55" s="45"/>
      <c r="E55" s="45"/>
      <c r="F55" s="45"/>
      <c r="G55" s="45"/>
      <c r="H55" s="45"/>
    </row>
    <row r="56" spans="1:8" ht="15.75" x14ac:dyDescent="0.25">
      <c r="A56" s="45"/>
      <c r="B56" s="45"/>
      <c r="C56" s="45"/>
      <c r="D56" s="45"/>
      <c r="E56" s="45"/>
      <c r="F56" s="45"/>
      <c r="G56" s="45"/>
      <c r="H56" s="45"/>
    </row>
    <row r="57" spans="1:8" ht="15.75" x14ac:dyDescent="0.25">
      <c r="A57" s="46"/>
      <c r="B57" s="46"/>
      <c r="C57" s="46"/>
      <c r="D57" s="46"/>
      <c r="E57" s="46"/>
      <c r="F57" s="46"/>
      <c r="G57" s="46"/>
      <c r="H57" s="46"/>
    </row>
    <row r="58" spans="1:8" ht="15.75" x14ac:dyDescent="0.25">
      <c r="A58" s="46"/>
      <c r="B58" s="46"/>
      <c r="C58" s="46"/>
      <c r="D58" s="46"/>
      <c r="E58" s="46"/>
      <c r="F58" s="46"/>
      <c r="G58" s="46"/>
      <c r="H58" s="46"/>
    </row>
    <row r="60" spans="1:8" x14ac:dyDescent="0.25">
      <c r="A60" s="57"/>
      <c r="B60" s="57"/>
      <c r="C60" s="57"/>
      <c r="D60" s="57"/>
      <c r="E60" s="57"/>
      <c r="F60" s="77"/>
      <c r="G60" s="57"/>
      <c r="H60" s="57"/>
    </row>
    <row r="61" spans="1:8" x14ac:dyDescent="0.25">
      <c r="A61" s="57"/>
      <c r="B61" s="57"/>
      <c r="C61" s="57"/>
      <c r="D61" s="57"/>
      <c r="E61" s="57"/>
      <c r="F61" s="77"/>
      <c r="G61" s="57"/>
      <c r="H61" s="57"/>
    </row>
    <row r="62" spans="1:8" x14ac:dyDescent="0.25">
      <c r="A62" s="58"/>
      <c r="B62" s="58"/>
      <c r="C62" s="58"/>
      <c r="D62" s="58"/>
      <c r="E62" s="58"/>
      <c r="F62" s="58"/>
      <c r="G62" s="58"/>
      <c r="H62" s="58"/>
    </row>
    <row r="63" spans="1:8" x14ac:dyDescent="0.25">
      <c r="A63" s="59"/>
      <c r="B63" s="59"/>
      <c r="C63" s="59"/>
      <c r="D63" s="59"/>
      <c r="E63" s="59"/>
      <c r="F63" s="78"/>
      <c r="G63" s="59"/>
      <c r="H63" s="59"/>
    </row>
    <row r="64" spans="1:8" x14ac:dyDescent="0.25">
      <c r="A64" s="57"/>
      <c r="B64" s="57"/>
      <c r="C64" s="57"/>
      <c r="D64" s="57"/>
      <c r="E64" s="57"/>
      <c r="F64" s="77"/>
      <c r="G64" s="57"/>
      <c r="H64" s="57"/>
    </row>
  </sheetData>
  <sheetProtection sheet="1" objects="1" scenarios="1"/>
  <conditionalFormatting sqref="H7:I40">
    <cfRule type="dataBar" priority="15">
      <dataBar>
        <cfvo type="num" val="0"/>
        <cfvo type="num" val="1"/>
        <color rgb="FFB4A9D4"/>
      </dataBar>
      <extLst>
        <ext xmlns:x14="http://schemas.microsoft.com/office/spreadsheetml/2009/9/main" uri="{B025F937-C7B1-47D3-B67F-A62EFF666E3E}">
          <x14:id>{F581B581-A888-4018-B515-D94736C67099}</x14:id>
        </ext>
      </extLst>
    </cfRule>
  </conditionalFormatting>
  <conditionalFormatting sqref="H41:I43">
    <cfRule type="dataBar" priority="5">
      <dataBar>
        <cfvo type="num" val="0"/>
        <cfvo type="num" val="1"/>
        <color rgb="FFB4A9D4"/>
      </dataBar>
      <extLst>
        <ext xmlns:x14="http://schemas.microsoft.com/office/spreadsheetml/2009/9/main" uri="{B025F937-C7B1-47D3-B67F-A62EFF666E3E}">
          <x14:id>{3B688CBD-503D-4561-A1FF-E942DD11A12C}</x14:id>
        </ext>
      </extLst>
    </cfRule>
  </conditionalFormatting>
  <conditionalFormatting sqref="K7:N43 P7:P43">
    <cfRule type="cellIs" dxfId="4" priority="4" operator="between">
      <formula>1</formula>
      <formula>2</formula>
    </cfRule>
  </conditionalFormatting>
  <conditionalFormatting sqref="Q7:R7">
    <cfRule type="cellIs" dxfId="3" priority="3" operator="between">
      <formula>1</formula>
      <formula>2</formula>
    </cfRule>
  </conditionalFormatting>
  <conditionalFormatting sqref="Q8:R43">
    <cfRule type="cellIs" dxfId="2" priority="2" operator="between">
      <formula>1</formula>
      <formula>2</formula>
    </cfRule>
  </conditionalFormatting>
  <conditionalFormatting sqref="O7:O43">
    <cfRule type="cellIs" dxfId="1" priority="1" operator="between">
      <formula>1</formula>
      <formula>2</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581B581-A888-4018-B515-D94736C67099}">
            <x14:dataBar minLength="0" maxLength="100" gradient="0">
              <x14:cfvo type="num">
                <xm:f>0</xm:f>
              </x14:cfvo>
              <x14:cfvo type="num">
                <xm:f>1</xm:f>
              </x14:cfvo>
              <x14:negativeFillColor rgb="FFFF0000"/>
              <x14:axisColor rgb="FF000000"/>
            </x14:dataBar>
          </x14:cfRule>
          <xm:sqref>H7:I40</xm:sqref>
        </x14:conditionalFormatting>
        <x14:conditionalFormatting xmlns:xm="http://schemas.microsoft.com/office/excel/2006/main">
          <x14:cfRule type="dataBar" id="{3B688CBD-503D-4561-A1FF-E942DD11A12C}">
            <x14:dataBar minLength="0" maxLength="100" gradient="0">
              <x14:cfvo type="num">
                <xm:f>0</xm:f>
              </x14:cfvo>
              <x14:cfvo type="num">
                <xm:f>1</xm:f>
              </x14:cfvo>
              <x14:negativeFillColor rgb="FFFF0000"/>
              <x14:axisColor rgb="FF000000"/>
            </x14:dataBar>
          </x14:cfRule>
          <xm:sqref>H41:I43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7"/>
  <sheetViews>
    <sheetView zoomScale="75" zoomScaleNormal="75" workbookViewId="0"/>
  </sheetViews>
  <sheetFormatPr defaultColWidth="8.7109375" defaultRowHeight="15" x14ac:dyDescent="0.25"/>
  <cols>
    <col min="1" max="1" width="56.42578125" style="22" customWidth="1"/>
    <col min="2" max="10" width="14.28515625" style="22" customWidth="1"/>
    <col min="11" max="11" width="12.42578125" style="22" customWidth="1"/>
    <col min="12" max="13" width="12.28515625" style="22" customWidth="1"/>
    <col min="14" max="16384" width="8.7109375" style="22"/>
  </cols>
  <sheetData>
    <row r="1" spans="1:12" ht="21.6" customHeight="1" x14ac:dyDescent="0.35">
      <c r="A1" s="31" t="s">
        <v>33</v>
      </c>
    </row>
    <row r="2" spans="1:12" ht="20.25" customHeight="1" x14ac:dyDescent="0.25">
      <c r="A2" s="37" t="s">
        <v>767</v>
      </c>
    </row>
    <row r="3" spans="1:12" ht="20.25" customHeight="1" x14ac:dyDescent="0.25">
      <c r="A3" s="26" t="s">
        <v>58</v>
      </c>
    </row>
    <row r="4" spans="1:12" s="198" customFormat="1" ht="15.95" customHeight="1" x14ac:dyDescent="0.35">
      <c r="A4" s="222" t="s">
        <v>745</v>
      </c>
      <c r="B4" s="223"/>
      <c r="C4" s="223"/>
      <c r="D4" s="223"/>
      <c r="E4" s="223"/>
      <c r="F4" s="223"/>
      <c r="G4" s="223"/>
      <c r="H4" s="224"/>
      <c r="I4" s="224"/>
      <c r="J4" s="224"/>
      <c r="K4" s="224"/>
    </row>
    <row r="5" spans="1:12" s="198" customFormat="1" ht="15.95" customHeight="1" x14ac:dyDescent="0.35">
      <c r="A5" s="222" t="s">
        <v>746</v>
      </c>
      <c r="B5" s="223"/>
      <c r="C5" s="223"/>
      <c r="D5" s="223"/>
      <c r="E5" s="223"/>
      <c r="F5" s="223"/>
      <c r="G5" s="223"/>
      <c r="H5" s="224"/>
      <c r="I5" s="224"/>
      <c r="J5" s="224"/>
      <c r="K5" s="224"/>
    </row>
    <row r="6" spans="1:12" ht="20.25" customHeight="1" x14ac:dyDescent="0.25">
      <c r="A6" s="43" t="s">
        <v>750</v>
      </c>
    </row>
    <row r="7" spans="1:12" s="23" customFormat="1" ht="33.75" customHeight="1" x14ac:dyDescent="0.25">
      <c r="A7" s="211" t="s">
        <v>702</v>
      </c>
      <c r="B7" s="203" t="s">
        <v>222</v>
      </c>
      <c r="C7" s="49"/>
      <c r="D7" s="30"/>
      <c r="E7" s="30"/>
      <c r="F7" s="30"/>
      <c r="G7" s="30"/>
      <c r="H7" s="30"/>
      <c r="I7" s="30"/>
      <c r="J7" s="30"/>
      <c r="K7" s="30"/>
      <c r="L7" s="30"/>
    </row>
    <row r="8" spans="1:12" ht="78.75" x14ac:dyDescent="0.25">
      <c r="A8" s="38" t="s">
        <v>689</v>
      </c>
      <c r="B8" s="39" t="s">
        <v>766</v>
      </c>
      <c r="C8" s="39" t="s">
        <v>314</v>
      </c>
      <c r="D8" s="39" t="s">
        <v>60</v>
      </c>
      <c r="E8" s="39" t="s">
        <v>642</v>
      </c>
      <c r="F8" s="39" t="s">
        <v>690</v>
      </c>
      <c r="G8" s="39" t="s">
        <v>691</v>
      </c>
      <c r="H8" s="39" t="s">
        <v>315</v>
      </c>
      <c r="I8" s="39" t="s">
        <v>316</v>
      </c>
      <c r="J8" s="32" t="s">
        <v>317</v>
      </c>
      <c r="K8" s="27"/>
    </row>
    <row r="9" spans="1:12" s="23" customFormat="1" ht="15.95" customHeight="1" x14ac:dyDescent="0.25">
      <c r="A9" s="110" t="str">
        <f xml:space="preserve"> "Total " &amp;$B$7</f>
        <v>Total All time</v>
      </c>
      <c r="B9" s="130">
        <f>VLOOKUP($A9, 'Table 4 - Full data'!$A$2:$J$66,2,FALSE)</f>
        <v>323915</v>
      </c>
      <c r="C9" s="116">
        <f>VLOOKUP($A9, 'Table 4 - Full data'!$A$2:$J$66,3,FALSE)</f>
        <v>1</v>
      </c>
      <c r="D9" s="130">
        <f>VLOOKUP($A9, 'Table 4 - Full data'!$A$2:$J$66,4,FALSE)</f>
        <v>315340</v>
      </c>
      <c r="E9" s="130">
        <f>VLOOKUP($A9, 'Table 4 - Full data'!$A$2:$J$66,5,FALSE)</f>
        <v>213585</v>
      </c>
      <c r="F9" s="130">
        <f>VLOOKUP($A9, 'Table 4 - Full data'!$A$2:$J$66,6,FALSE)</f>
        <v>90095</v>
      </c>
      <c r="G9" s="130">
        <f>VLOOKUP($A9, 'Table 4 - Full data'!$A$2:$J$66,7,FALSE)</f>
        <v>11660</v>
      </c>
      <c r="H9" s="117">
        <f>VLOOKUP($A9, 'Table 4 - Full data'!$A$2:$J$66,8,FALSE)</f>
        <v>0.68</v>
      </c>
      <c r="I9" s="117">
        <f>VLOOKUP($A9, 'Table 4 - Full data'!$A$2:$J$66,9,FALSE)</f>
        <v>0.28999999999999998</v>
      </c>
      <c r="J9" s="117">
        <f>VLOOKUP($A9, 'Table 4 - Full data'!$A$2:$J$66,10,FALSE)</f>
        <v>0.04</v>
      </c>
      <c r="K9" s="30"/>
    </row>
    <row r="10" spans="1:12" ht="15.95" customHeight="1" x14ac:dyDescent="0.25">
      <c r="A10" s="40" t="str">
        <f xml:space="preserve"> "Under 18 " &amp;$B$7</f>
        <v>Under 18 All time</v>
      </c>
      <c r="B10" s="134">
        <f>VLOOKUP($A10, 'Table 4 - Full data'!$A$2:$J$66,2,FALSE)</f>
        <v>2020</v>
      </c>
      <c r="C10" s="111">
        <f>VLOOKUP($A10, 'Table 4 - Full data'!$A$2:$J$66,3,FALSE)</f>
        <v>0.01</v>
      </c>
      <c r="D10" s="134">
        <f>VLOOKUP($A10, 'Table 4 - Full data'!$A$2:$J$66,4,FALSE)</f>
        <v>1930</v>
      </c>
      <c r="E10" s="134">
        <f>VLOOKUP($A10, 'Table 4 - Full data'!$A$2:$J$66,5,FALSE)</f>
        <v>1560</v>
      </c>
      <c r="F10" s="134">
        <f>VLOOKUP($A10, 'Table 4 - Full data'!$A$2:$J$66,6,FALSE)</f>
        <v>245</v>
      </c>
      <c r="G10" s="134">
        <f>VLOOKUP($A10, 'Table 4 - Full data'!$A$2:$J$66,7,FALSE)</f>
        <v>125</v>
      </c>
      <c r="H10" s="111">
        <f>VLOOKUP($A10, 'Table 4 - Full data'!$A$2:$J$66,8,FALSE)</f>
        <v>0.81</v>
      </c>
      <c r="I10" s="111">
        <f>VLOOKUP($A10, 'Table 4 - Full data'!$A$2:$J$66,9,FALSE)</f>
        <v>0.13</v>
      </c>
      <c r="J10" s="111">
        <f>VLOOKUP($A10, 'Table 4 - Full data'!$A$2:$J$66,10,FALSE)</f>
        <v>7.0000000000000007E-2</v>
      </c>
      <c r="K10" s="27"/>
    </row>
    <row r="11" spans="1:12" ht="15.95" customHeight="1" x14ac:dyDescent="0.25">
      <c r="A11" s="41" t="str">
        <f xml:space="preserve"> "18-24 " &amp;$B$7</f>
        <v>18-24 All time</v>
      </c>
      <c r="B11" s="134">
        <f>VLOOKUP($A11, 'Table 4 - Full data'!$A$2:$J$66,2,FALSE)</f>
        <v>64630</v>
      </c>
      <c r="C11" s="111">
        <f>VLOOKUP($A11, 'Table 4 - Full data'!$A$2:$J$66,3,FALSE)</f>
        <v>0.2</v>
      </c>
      <c r="D11" s="134">
        <f>VLOOKUP($A11, 'Table 4 - Full data'!$A$2:$J$66,4,FALSE)</f>
        <v>62790</v>
      </c>
      <c r="E11" s="134">
        <f>VLOOKUP($A11, 'Table 4 - Full data'!$A$2:$J$66,5,FALSE)</f>
        <v>43520</v>
      </c>
      <c r="F11" s="134">
        <f>VLOOKUP($A11, 'Table 4 - Full data'!$A$2:$J$66,6,FALSE)</f>
        <v>16475</v>
      </c>
      <c r="G11" s="134">
        <f>VLOOKUP($A11, 'Table 4 - Full data'!$A$2:$J$66,7,FALSE)</f>
        <v>2795</v>
      </c>
      <c r="H11" s="111">
        <f>VLOOKUP($A11, 'Table 4 - Full data'!$A$2:$J$66,8,FALSE)</f>
        <v>0.69</v>
      </c>
      <c r="I11" s="111">
        <f>VLOOKUP($A11, 'Table 4 - Full data'!$A$2:$J$66,9,FALSE)</f>
        <v>0.26</v>
      </c>
      <c r="J11" s="111">
        <f>VLOOKUP($A11, 'Table 4 - Full data'!$A$2:$J$66,10,FALSE)</f>
        <v>0.04</v>
      </c>
      <c r="K11" s="27"/>
    </row>
    <row r="12" spans="1:12" ht="15.95" customHeight="1" x14ac:dyDescent="0.25">
      <c r="A12" s="41" t="str">
        <f xml:space="preserve"> "25-29 " &amp;$B$7</f>
        <v>25-29 All time</v>
      </c>
      <c r="B12" s="134">
        <f>VLOOKUP($A12, 'Table 4 - Full data'!$A$2:$J$66,2,FALSE)</f>
        <v>91790</v>
      </c>
      <c r="C12" s="111">
        <f>VLOOKUP($A12, 'Table 4 - Full data'!$A$2:$J$66,3,FALSE)</f>
        <v>0.28000000000000003</v>
      </c>
      <c r="D12" s="134">
        <f>VLOOKUP($A12, 'Table 4 - Full data'!$A$2:$J$66,4,FALSE)</f>
        <v>89475</v>
      </c>
      <c r="E12" s="134">
        <f>VLOOKUP($A12, 'Table 4 - Full data'!$A$2:$J$66,5,FALSE)</f>
        <v>61245</v>
      </c>
      <c r="F12" s="134">
        <f>VLOOKUP($A12, 'Table 4 - Full data'!$A$2:$J$66,6,FALSE)</f>
        <v>24945</v>
      </c>
      <c r="G12" s="134">
        <f>VLOOKUP($A12, 'Table 4 - Full data'!$A$2:$J$66,7,FALSE)</f>
        <v>3285</v>
      </c>
      <c r="H12" s="111">
        <f>VLOOKUP($A12, 'Table 4 - Full data'!$A$2:$J$66,8,FALSE)</f>
        <v>0.68</v>
      </c>
      <c r="I12" s="111">
        <f>VLOOKUP($A12, 'Table 4 - Full data'!$A$2:$J$66,9,FALSE)</f>
        <v>0.28000000000000003</v>
      </c>
      <c r="J12" s="111">
        <f>VLOOKUP($A12, 'Table 4 - Full data'!$A$2:$J$66,10,FALSE)</f>
        <v>0.04</v>
      </c>
      <c r="K12" s="27"/>
    </row>
    <row r="13" spans="1:12" ht="15.95" customHeight="1" x14ac:dyDescent="0.25">
      <c r="A13" s="41" t="str">
        <f xml:space="preserve"> "30-34 " &amp;$B$7</f>
        <v>30-34 All time</v>
      </c>
      <c r="B13" s="134">
        <f>VLOOKUP($A13, 'Table 4 - Full data'!$A$2:$J$66,2,FALSE)</f>
        <v>84775</v>
      </c>
      <c r="C13" s="111">
        <f>VLOOKUP($A13, 'Table 4 - Full data'!$A$2:$J$66,3,FALSE)</f>
        <v>0.26</v>
      </c>
      <c r="D13" s="134">
        <f>VLOOKUP($A13, 'Table 4 - Full data'!$A$2:$J$66,4,FALSE)</f>
        <v>82755</v>
      </c>
      <c r="E13" s="134">
        <f>VLOOKUP($A13, 'Table 4 - Full data'!$A$2:$J$66,5,FALSE)</f>
        <v>55525</v>
      </c>
      <c r="F13" s="134">
        <f>VLOOKUP($A13, 'Table 4 - Full data'!$A$2:$J$66,6,FALSE)</f>
        <v>24530</v>
      </c>
      <c r="G13" s="134">
        <f>VLOOKUP($A13, 'Table 4 - Full data'!$A$2:$J$66,7,FALSE)</f>
        <v>2705</v>
      </c>
      <c r="H13" s="111">
        <f>VLOOKUP($A13, 'Table 4 - Full data'!$A$2:$J$66,8,FALSE)</f>
        <v>0.67</v>
      </c>
      <c r="I13" s="111">
        <f>VLOOKUP($A13, 'Table 4 - Full data'!$A$2:$J$66,9,FALSE)</f>
        <v>0.3</v>
      </c>
      <c r="J13" s="111">
        <f>VLOOKUP($A13, 'Table 4 - Full data'!$A$2:$J$66,10,FALSE)</f>
        <v>0.03</v>
      </c>
      <c r="K13" s="27"/>
    </row>
    <row r="14" spans="1:12" ht="15.95" customHeight="1" x14ac:dyDescent="0.25">
      <c r="A14" s="41" t="str">
        <f xml:space="preserve"> "35-39 " &amp;$B$7</f>
        <v>35-39 All time</v>
      </c>
      <c r="B14" s="134">
        <f>VLOOKUP($A14, 'Table 4 - Full data'!$A$2:$J$66,2,FALSE)</f>
        <v>51945</v>
      </c>
      <c r="C14" s="111">
        <f>VLOOKUP($A14, 'Table 4 - Full data'!$A$2:$J$66,3,FALSE)</f>
        <v>0.16</v>
      </c>
      <c r="D14" s="134">
        <f>VLOOKUP($A14, 'Table 4 - Full data'!$A$2:$J$66,4,FALSE)</f>
        <v>50655</v>
      </c>
      <c r="E14" s="134">
        <f>VLOOKUP($A14, 'Table 4 - Full data'!$A$2:$J$66,5,FALSE)</f>
        <v>33920</v>
      </c>
      <c r="F14" s="134">
        <f>VLOOKUP($A14, 'Table 4 - Full data'!$A$2:$J$66,6,FALSE)</f>
        <v>15220</v>
      </c>
      <c r="G14" s="134">
        <f>VLOOKUP($A14, 'Table 4 - Full data'!$A$2:$J$66,7,FALSE)</f>
        <v>1515</v>
      </c>
      <c r="H14" s="111">
        <f>VLOOKUP($A14, 'Table 4 - Full data'!$A$2:$J$66,8,FALSE)</f>
        <v>0.67</v>
      </c>
      <c r="I14" s="111">
        <f>VLOOKUP($A14, 'Table 4 - Full data'!$A$2:$J$66,9,FALSE)</f>
        <v>0.3</v>
      </c>
      <c r="J14" s="111">
        <f>VLOOKUP($A14, 'Table 4 - Full data'!$A$2:$J$66,10,FALSE)</f>
        <v>0.03</v>
      </c>
      <c r="K14" s="27"/>
    </row>
    <row r="15" spans="1:12" ht="16.5" customHeight="1" x14ac:dyDescent="0.25">
      <c r="A15" s="62" t="str">
        <f xml:space="preserve"> "40-44 "&amp;$B$7</f>
        <v>40-44 All time</v>
      </c>
      <c r="B15" s="134">
        <f>VLOOKUP($A15, 'Table 4 - Full data'!$A$2:$J$66,2,FALSE)</f>
        <v>20665</v>
      </c>
      <c r="C15" s="111">
        <f>VLOOKUP($A15, 'Table 4 - Full data'!$A$2:$J$66,3,FALSE)</f>
        <v>0.06</v>
      </c>
      <c r="D15" s="134">
        <f>VLOOKUP($A15, 'Table 4 - Full data'!$A$2:$J$66,4,FALSE)</f>
        <v>20165</v>
      </c>
      <c r="E15" s="134">
        <f>VLOOKUP($A15, 'Table 4 - Full data'!$A$2:$J$66,5,FALSE)</f>
        <v>13315</v>
      </c>
      <c r="F15" s="134">
        <f>VLOOKUP($A15, 'Table 4 - Full data'!$A$2:$J$66,6,FALSE)</f>
        <v>6220</v>
      </c>
      <c r="G15" s="134">
        <f>VLOOKUP($A15, 'Table 4 - Full data'!$A$2:$J$66,7,FALSE)</f>
        <v>630</v>
      </c>
      <c r="H15" s="111">
        <f>VLOOKUP($A15, 'Table 4 - Full data'!$A$2:$J$66,8,FALSE)</f>
        <v>0.66</v>
      </c>
      <c r="I15" s="111">
        <f>VLOOKUP($A15, 'Table 4 - Full data'!$A$2:$J$66,9,FALSE)</f>
        <v>0.31</v>
      </c>
      <c r="J15" s="111">
        <f>VLOOKUP($A15, 'Table 4 - Full data'!$A$2:$J$66,10,FALSE)</f>
        <v>0.03</v>
      </c>
      <c r="K15" s="42"/>
    </row>
    <row r="16" spans="1:12" ht="15.75" x14ac:dyDescent="0.25">
      <c r="A16" s="62" t="str">
        <f xml:space="preserve"> "45-49 " &amp;$B$7</f>
        <v>45-49 All time</v>
      </c>
      <c r="B16" s="134">
        <f>VLOOKUP($A16, 'Table 4 - Full data'!$A$2:$J$66,2,FALSE)</f>
        <v>5005</v>
      </c>
      <c r="C16" s="111">
        <f>VLOOKUP($A16, 'Table 4 - Full data'!$A$2:$J$66,3,FALSE)</f>
        <v>0.02</v>
      </c>
      <c r="D16" s="134">
        <f>VLOOKUP($A16, 'Table 4 - Full data'!$A$2:$J$66,4,FALSE)</f>
        <v>4880</v>
      </c>
      <c r="E16" s="134">
        <f>VLOOKUP($A16, 'Table 4 - Full data'!$A$2:$J$66,5,FALSE)</f>
        <v>3130</v>
      </c>
      <c r="F16" s="134">
        <f>VLOOKUP($A16, 'Table 4 - Full data'!$A$2:$J$66,6,FALSE)</f>
        <v>1605</v>
      </c>
      <c r="G16" s="134">
        <f>VLOOKUP($A16, 'Table 4 - Full data'!$A$2:$J$66,7,FALSE)</f>
        <v>145</v>
      </c>
      <c r="H16" s="111">
        <f>VLOOKUP($A16, 'Table 4 - Full data'!$A$2:$J$66,8,FALSE)</f>
        <v>0.64</v>
      </c>
      <c r="I16" s="111">
        <f>VLOOKUP($A16, 'Table 4 - Full data'!$A$2:$J$66,9,FALSE)</f>
        <v>0.33</v>
      </c>
      <c r="J16" s="111">
        <f>VLOOKUP($A16, 'Table 4 - Full data'!$A$2:$J$66,10,FALSE)</f>
        <v>0.03</v>
      </c>
      <c r="K16" s="45"/>
      <c r="L16" s="11"/>
    </row>
    <row r="17" spans="1:13" ht="15.75" x14ac:dyDescent="0.25">
      <c r="A17" s="62" t="str">
        <f xml:space="preserve"> "50-54 " &amp;$B$7</f>
        <v>50-54 All time</v>
      </c>
      <c r="B17" s="134">
        <f>VLOOKUP($A17, 'Table 4 - Full data'!$A$2:$J$66,2,FALSE)</f>
        <v>1295</v>
      </c>
      <c r="C17" s="111">
        <f>VLOOKUP($A17, 'Table 4 - Full data'!$A$2:$J$66,3,FALSE)</f>
        <v>0</v>
      </c>
      <c r="D17" s="134">
        <f>VLOOKUP($A17, 'Table 4 - Full data'!$A$2:$J$66,4,FALSE)</f>
        <v>1250</v>
      </c>
      <c r="E17" s="134">
        <f>VLOOKUP($A17, 'Table 4 - Full data'!$A$2:$J$66,5,FALSE)</f>
        <v>775</v>
      </c>
      <c r="F17" s="134">
        <f>VLOOKUP($A17, 'Table 4 - Full data'!$A$2:$J$66,6,FALSE)</f>
        <v>430</v>
      </c>
      <c r="G17" s="134">
        <f>VLOOKUP($A17, 'Table 4 - Full data'!$A$2:$J$66,7,FALSE)</f>
        <v>45</v>
      </c>
      <c r="H17" s="111">
        <f>VLOOKUP($A17, 'Table 4 - Full data'!$A$2:$J$66,8,FALSE)</f>
        <v>0.62</v>
      </c>
      <c r="I17" s="111">
        <f>VLOOKUP($A17, 'Table 4 - Full data'!$A$2:$J$66,9,FALSE)</f>
        <v>0.34</v>
      </c>
      <c r="J17" s="111">
        <f>VLOOKUP($A17, 'Table 4 - Full data'!$A$2:$J$66,10,FALSE)</f>
        <v>0.04</v>
      </c>
      <c r="K17" s="44"/>
      <c r="L17" s="11"/>
    </row>
    <row r="18" spans="1:13" ht="15.75" x14ac:dyDescent="0.25">
      <c r="A18" s="62" t="str">
        <f xml:space="preserve"> "55-59 " &amp;$B$7</f>
        <v>55-59 All time</v>
      </c>
      <c r="B18" s="134">
        <f>VLOOKUP($A18, 'Table 4 - Full data'!$A$2:$J$66,2,FALSE)</f>
        <v>635</v>
      </c>
      <c r="C18" s="111">
        <f>VLOOKUP($A18, 'Table 4 - Full data'!$A$2:$J$66,3,FALSE)</f>
        <v>0</v>
      </c>
      <c r="D18" s="134">
        <f>VLOOKUP($A18, 'Table 4 - Full data'!$A$2:$J$66,4,FALSE)</f>
        <v>615</v>
      </c>
      <c r="E18" s="134">
        <f>VLOOKUP($A18, 'Table 4 - Full data'!$A$2:$J$66,5,FALSE)</f>
        <v>370</v>
      </c>
      <c r="F18" s="134">
        <f>VLOOKUP($A18, 'Table 4 - Full data'!$A$2:$J$66,6,FALSE)</f>
        <v>220</v>
      </c>
      <c r="G18" s="134">
        <f>VLOOKUP($A18, 'Table 4 - Full data'!$A$2:$J$66,7,FALSE)</f>
        <v>25</v>
      </c>
      <c r="H18" s="111">
        <f>VLOOKUP($A18, 'Table 4 - Full data'!$A$2:$J$66,8,FALSE)</f>
        <v>0.6</v>
      </c>
      <c r="I18" s="111">
        <f>VLOOKUP($A18, 'Table 4 - Full data'!$A$2:$J$66,9,FALSE)</f>
        <v>0.36</v>
      </c>
      <c r="J18" s="111">
        <f>VLOOKUP($A18, 'Table 4 - Full data'!$A$2:$J$66,10,FALSE)</f>
        <v>0.04</v>
      </c>
      <c r="K18" s="45"/>
      <c r="L18" s="11"/>
    </row>
    <row r="19" spans="1:13" ht="16.5" customHeight="1" x14ac:dyDescent="0.25">
      <c r="A19" s="62" t="str">
        <f xml:space="preserve"> "60-64 " &amp;$B$7</f>
        <v>60-64 All time</v>
      </c>
      <c r="B19" s="134">
        <f>VLOOKUP($A19, 'Table 4 - Full data'!$A$2:$J$66,2,FALSE)</f>
        <v>280</v>
      </c>
      <c r="C19" s="111">
        <f>VLOOKUP($A19, 'Table 4 - Full data'!$A$2:$J$66,3,FALSE)</f>
        <v>0</v>
      </c>
      <c r="D19" s="134">
        <f>VLOOKUP($A19, 'Table 4 - Full data'!$A$2:$J$66,4,FALSE)</f>
        <v>270</v>
      </c>
      <c r="E19" s="134">
        <f>VLOOKUP($A19, 'Table 4 - Full data'!$A$2:$J$66,5,FALSE)</f>
        <v>165</v>
      </c>
      <c r="F19" s="134">
        <f>VLOOKUP($A19, 'Table 4 - Full data'!$A$2:$J$66,6,FALSE)</f>
        <v>90</v>
      </c>
      <c r="G19" s="134">
        <f>VLOOKUP($A19, 'Table 4 - Full data'!$A$2:$J$66,7,FALSE)</f>
        <v>15</v>
      </c>
      <c r="H19" s="111">
        <f>VLOOKUP($A19, 'Table 4 - Full data'!$A$2:$J$66,8,FALSE)</f>
        <v>0.61</v>
      </c>
      <c r="I19" s="111">
        <f>VLOOKUP($A19, 'Table 4 - Full data'!$A$2:$J$66,9,FALSE)</f>
        <v>0.34</v>
      </c>
      <c r="J19" s="111">
        <f>VLOOKUP($A19, 'Table 4 - Full data'!$A$2:$J$66,10,FALSE)</f>
        <v>0.05</v>
      </c>
      <c r="K19" s="44"/>
      <c r="L19" s="11"/>
    </row>
    <row r="20" spans="1:13" s="25" customFormat="1" ht="15.75" x14ac:dyDescent="0.25">
      <c r="A20" s="62" t="str">
        <f xml:space="preserve"> "65 and over " &amp;$B$7</f>
        <v>65 and over All time</v>
      </c>
      <c r="B20" s="134">
        <f>VLOOKUP($A20, 'Table 4 - Full data'!$A$2:$J$66,2,FALSE)</f>
        <v>140</v>
      </c>
      <c r="C20" s="111">
        <f>VLOOKUP($A20, 'Table 4 - Full data'!$A$2:$J$66,3,FALSE)</f>
        <v>0</v>
      </c>
      <c r="D20" s="134">
        <f>VLOOKUP($A20, 'Table 4 - Full data'!$A$2:$J$66,4,FALSE)</f>
        <v>135</v>
      </c>
      <c r="E20" s="134">
        <f>VLOOKUP($A20, 'Table 4 - Full data'!$A$2:$J$66,5,FALSE)</f>
        <v>70</v>
      </c>
      <c r="F20" s="134">
        <f>VLOOKUP($A20, 'Table 4 - Full data'!$A$2:$J$66,6,FALSE)</f>
        <v>60</v>
      </c>
      <c r="G20" s="134">
        <f>VLOOKUP($A20, 'Table 4 - Full data'!$A$2:$J$66,7,FALSE)</f>
        <v>5</v>
      </c>
      <c r="H20" s="111">
        <f>VLOOKUP($A20, 'Table 4 - Full data'!$A$2:$J$66,8,FALSE)</f>
        <v>0.51</v>
      </c>
      <c r="I20" s="111">
        <f>VLOOKUP($A20, 'Table 4 - Full data'!$A$2:$J$66,9,FALSE)</f>
        <v>0.44</v>
      </c>
      <c r="J20" s="111">
        <f>VLOOKUP($A20, 'Table 4 - Full data'!$A$2:$J$66,10,FALSE)</f>
        <v>0.04</v>
      </c>
      <c r="K20" s="45"/>
    </row>
    <row r="21" spans="1:13" s="25" customFormat="1" ht="15.75" x14ac:dyDescent="0.25">
      <c r="A21" s="41" t="str">
        <f xml:space="preserve"> "Unknown " &amp;$B$7</f>
        <v>Unknown All time</v>
      </c>
      <c r="B21" s="134">
        <f>VLOOKUP($A21, 'Table 4 - Full data'!$A$2:$J$66,2,FALSE)</f>
        <v>735</v>
      </c>
      <c r="C21" s="111">
        <f>VLOOKUP($A21, 'Table 4 - Full data'!$A$2:$J$66,3,FALSE)</f>
        <v>0</v>
      </c>
      <c r="D21" s="134">
        <f>VLOOKUP($A21, 'Table 4 - Full data'!$A$2:$J$66,4,FALSE)</f>
        <v>420</v>
      </c>
      <c r="E21" s="134">
        <f>VLOOKUP($A21, 'Table 4 - Full data'!$A$2:$J$66,5,FALSE)</f>
        <v>0</v>
      </c>
      <c r="F21" s="134">
        <f>VLOOKUP($A21, 'Table 4 - Full data'!$A$2:$J$66,6,FALSE)</f>
        <v>50</v>
      </c>
      <c r="G21" s="134">
        <f>VLOOKUP($A21, 'Table 4 - Full data'!$A$2:$J$66,7,FALSE)</f>
        <v>370</v>
      </c>
      <c r="H21" s="111">
        <f>VLOOKUP($A21, 'Table 4 - Full data'!$A$2:$J$66,8,FALSE)</f>
        <v>0</v>
      </c>
      <c r="I21" s="111">
        <f>VLOOKUP($A21, 'Table 4 - Full data'!$A$2:$J$66,9,FALSE)</f>
        <v>0.12</v>
      </c>
      <c r="J21" s="111">
        <f>VLOOKUP($A21, 'Table 4 - Full data'!$A$2:$J$66,10,FALSE)</f>
        <v>0.88</v>
      </c>
      <c r="K21" s="44"/>
    </row>
    <row r="22" spans="1:13" ht="19.5" customHeight="1" x14ac:dyDescent="0.25">
      <c r="A22" s="46" t="s">
        <v>8</v>
      </c>
      <c r="B22" s="46"/>
      <c r="C22" s="46"/>
      <c r="D22" s="46"/>
      <c r="E22" s="46"/>
      <c r="F22" s="46"/>
      <c r="G22" s="46"/>
      <c r="H22" s="46"/>
      <c r="I22" s="46"/>
      <c r="J22" s="46"/>
      <c r="K22" s="46"/>
      <c r="L22" s="46"/>
      <c r="M22" s="46"/>
    </row>
    <row r="23" spans="1:13" ht="15.75" x14ac:dyDescent="0.25">
      <c r="A23" s="64" t="s">
        <v>64</v>
      </c>
      <c r="B23" s="173"/>
      <c r="C23" s="173"/>
      <c r="D23" s="173"/>
      <c r="E23" s="173"/>
      <c r="F23" s="173"/>
      <c r="G23" s="173"/>
      <c r="H23" s="173"/>
      <c r="I23" s="173"/>
      <c r="J23" s="173"/>
      <c r="K23" s="173"/>
      <c r="L23" s="173"/>
      <c r="M23" s="173"/>
    </row>
    <row r="24" spans="1:13" ht="15.75" x14ac:dyDescent="0.25">
      <c r="A24" s="45" t="s">
        <v>586</v>
      </c>
    </row>
    <row r="25" spans="1:13" ht="15.75" x14ac:dyDescent="0.25">
      <c r="A25" s="45" t="s">
        <v>587</v>
      </c>
    </row>
    <row r="26" spans="1:13" ht="15.75" x14ac:dyDescent="0.25">
      <c r="A26" s="46" t="s">
        <v>600</v>
      </c>
    </row>
    <row r="27" spans="1:13" ht="15.75" x14ac:dyDescent="0.25">
      <c r="A27" s="200" t="s">
        <v>753</v>
      </c>
    </row>
    <row r="28" spans="1:13" ht="15.75" customHeight="1" x14ac:dyDescent="0.25">
      <c r="A28" s="46" t="s">
        <v>692</v>
      </c>
      <c r="B28" s="29"/>
      <c r="C28" s="29"/>
      <c r="D28" s="29"/>
      <c r="E28" s="29"/>
      <c r="F28" s="29"/>
      <c r="G28" s="29"/>
      <c r="H28" s="29"/>
      <c r="I28" s="29"/>
      <c r="J28" s="29"/>
      <c r="K28" s="29"/>
      <c r="L28" s="29"/>
      <c r="M28" s="29"/>
    </row>
    <row r="29" spans="1:13" ht="15.75" customHeight="1" x14ac:dyDescent="0.25">
      <c r="A29" s="46" t="s">
        <v>693</v>
      </c>
      <c r="B29" s="29"/>
      <c r="C29" s="29"/>
      <c r="D29" s="29"/>
      <c r="E29" s="29"/>
      <c r="F29" s="29"/>
      <c r="G29" s="29"/>
      <c r="H29" s="29"/>
      <c r="I29" s="29"/>
      <c r="J29" s="29"/>
      <c r="K29" s="29"/>
      <c r="L29" s="29"/>
      <c r="M29" s="29"/>
    </row>
    <row r="30" spans="1:13" ht="15.75" customHeight="1" x14ac:dyDescent="0.25">
      <c r="A30" s="46" t="s">
        <v>639</v>
      </c>
      <c r="B30" s="29"/>
      <c r="C30" s="29"/>
      <c r="D30" s="29"/>
      <c r="E30" s="29"/>
      <c r="F30" s="29"/>
      <c r="G30" s="29"/>
      <c r="H30" s="29"/>
      <c r="I30" s="29"/>
      <c r="J30" s="29"/>
      <c r="K30" s="29"/>
      <c r="L30" s="29"/>
      <c r="M30" s="29"/>
    </row>
    <row r="31" spans="1:13" ht="15.75" customHeight="1" x14ac:dyDescent="0.25">
      <c r="A31" s="46" t="s">
        <v>694</v>
      </c>
      <c r="B31" s="29"/>
      <c r="C31" s="29"/>
      <c r="D31" s="29"/>
      <c r="E31" s="29"/>
      <c r="F31" s="29"/>
      <c r="G31" s="29"/>
      <c r="H31" s="29"/>
      <c r="I31" s="29"/>
      <c r="J31" s="29"/>
      <c r="K31" s="29"/>
      <c r="L31" s="29"/>
      <c r="M31" s="29"/>
    </row>
    <row r="32" spans="1:13" ht="15.75" customHeight="1" x14ac:dyDescent="0.25">
      <c r="A32" s="46" t="s">
        <v>695</v>
      </c>
      <c r="B32" s="29"/>
      <c r="C32" s="29"/>
      <c r="D32" s="29"/>
      <c r="E32" s="29"/>
      <c r="F32" s="29"/>
      <c r="G32" s="29"/>
      <c r="H32" s="29"/>
      <c r="I32" s="29"/>
      <c r="J32" s="29"/>
      <c r="K32" s="29"/>
      <c r="L32" s="29"/>
      <c r="M32" s="29"/>
    </row>
    <row r="33" spans="1:13" ht="15.75" customHeight="1" x14ac:dyDescent="0.25">
      <c r="A33" s="46" t="s">
        <v>696</v>
      </c>
      <c r="B33" s="29"/>
      <c r="C33" s="29"/>
      <c r="D33" s="29"/>
      <c r="E33" s="29"/>
      <c r="F33" s="29"/>
      <c r="G33" s="29"/>
      <c r="H33" s="29"/>
      <c r="I33" s="29"/>
      <c r="J33" s="29"/>
      <c r="K33" s="29"/>
      <c r="L33" s="29"/>
      <c r="M33" s="29"/>
    </row>
    <row r="34" spans="1:13" ht="15.75" x14ac:dyDescent="0.25">
      <c r="A34" s="45"/>
      <c r="B34" s="44"/>
      <c r="C34" s="44"/>
      <c r="D34" s="44"/>
      <c r="E34" s="44"/>
      <c r="F34" s="44"/>
      <c r="G34" s="44"/>
      <c r="H34" s="44"/>
      <c r="I34" s="44"/>
      <c r="J34" s="44"/>
      <c r="K34" s="44"/>
      <c r="L34" s="46"/>
    </row>
    <row r="35" spans="1:13" ht="15.75" x14ac:dyDescent="0.25">
      <c r="A35" s="45"/>
      <c r="B35" s="44"/>
      <c r="C35" s="44"/>
      <c r="D35" s="44"/>
      <c r="E35" s="44"/>
      <c r="F35" s="44"/>
      <c r="G35" s="44"/>
      <c r="H35" s="44"/>
      <c r="I35" s="44"/>
      <c r="J35" s="44"/>
      <c r="K35" s="44"/>
    </row>
    <row r="36" spans="1:13" ht="15.75" x14ac:dyDescent="0.25">
      <c r="A36" s="45"/>
      <c r="B36" s="44"/>
      <c r="C36" s="44"/>
      <c r="D36" s="44"/>
      <c r="E36" s="44"/>
      <c r="F36" s="44"/>
      <c r="G36" s="44"/>
      <c r="H36" s="44"/>
      <c r="I36" s="44"/>
      <c r="J36" s="44"/>
      <c r="K36" s="44"/>
    </row>
    <row r="37" spans="1:13" ht="15.75" x14ac:dyDescent="0.25">
      <c r="A37" s="45"/>
      <c r="B37" s="44"/>
      <c r="C37" s="44"/>
      <c r="D37" s="44"/>
      <c r="E37" s="44"/>
      <c r="F37" s="44"/>
      <c r="G37" s="44"/>
      <c r="H37" s="44"/>
      <c r="I37" s="44"/>
      <c r="J37" s="44"/>
      <c r="K37" s="44"/>
    </row>
    <row r="38" spans="1:13" ht="15.75" x14ac:dyDescent="0.25">
      <c r="A38" s="45"/>
      <c r="B38" s="45"/>
      <c r="C38" s="45"/>
      <c r="D38" s="45"/>
      <c r="E38" s="45"/>
      <c r="F38" s="45"/>
      <c r="G38" s="45"/>
      <c r="H38" s="45"/>
      <c r="I38" s="45"/>
      <c r="J38" s="45"/>
      <c r="K38" s="45"/>
    </row>
    <row r="39" spans="1:13" ht="15.75" x14ac:dyDescent="0.25">
      <c r="A39" s="45"/>
      <c r="B39" s="45"/>
      <c r="C39" s="45"/>
      <c r="D39" s="45"/>
      <c r="E39" s="45"/>
      <c r="F39" s="45"/>
      <c r="G39" s="45"/>
      <c r="H39" s="45"/>
      <c r="I39" s="45"/>
      <c r="J39" s="45"/>
      <c r="K39" s="45"/>
    </row>
    <row r="40" spans="1:13" ht="15.75" x14ac:dyDescent="0.25">
      <c r="A40" s="46"/>
      <c r="B40" s="46"/>
      <c r="C40" s="46"/>
      <c r="D40" s="46"/>
      <c r="E40" s="46"/>
      <c r="F40" s="46"/>
      <c r="G40" s="46"/>
      <c r="H40" s="46"/>
      <c r="I40" s="46"/>
      <c r="J40" s="46"/>
      <c r="K40" s="46"/>
    </row>
    <row r="41" spans="1:13" ht="15.75" x14ac:dyDescent="0.25">
      <c r="A41" s="46"/>
      <c r="B41" s="46"/>
      <c r="C41" s="46"/>
      <c r="D41" s="46"/>
      <c r="E41" s="46"/>
      <c r="F41" s="46"/>
      <c r="G41" s="46"/>
      <c r="H41" s="46"/>
      <c r="I41" s="46"/>
      <c r="J41" s="46"/>
      <c r="K41" s="46"/>
    </row>
    <row r="44" spans="1:13" ht="15.75" x14ac:dyDescent="0.25">
      <c r="A44" s="45"/>
    </row>
    <row r="45" spans="1:13" ht="15.75" x14ac:dyDescent="0.25">
      <c r="A45" s="44"/>
    </row>
    <row r="46" spans="1:13" ht="15.75" x14ac:dyDescent="0.25">
      <c r="A46" s="45"/>
    </row>
    <row r="47" spans="1:13" ht="15.75" x14ac:dyDescent="0.25">
      <c r="A47" s="44"/>
    </row>
    <row r="48" spans="1:13" ht="15.75" x14ac:dyDescent="0.25">
      <c r="A48" s="45"/>
    </row>
    <row r="49" spans="1:1" ht="15.75" x14ac:dyDescent="0.25">
      <c r="A49" s="44"/>
    </row>
    <row r="50" spans="1:1" ht="15.75" x14ac:dyDescent="0.25">
      <c r="A50" s="44"/>
    </row>
    <row r="51" spans="1:1" ht="15.75" x14ac:dyDescent="0.25">
      <c r="A51" s="44"/>
    </row>
    <row r="52" spans="1:1" ht="15.75" x14ac:dyDescent="0.25">
      <c r="A52" s="44"/>
    </row>
    <row r="53" spans="1:1" ht="15.75" x14ac:dyDescent="0.25">
      <c r="A53" s="44"/>
    </row>
    <row r="54" spans="1:1" ht="15.75" x14ac:dyDescent="0.25">
      <c r="A54" s="45"/>
    </row>
    <row r="55" spans="1:1" ht="15.75" x14ac:dyDescent="0.25">
      <c r="A55" s="45"/>
    </row>
    <row r="56" spans="1:1" ht="15.75" x14ac:dyDescent="0.25">
      <c r="A56" s="46"/>
    </row>
    <row r="57" spans="1:1" ht="15.75" x14ac:dyDescent="0.25">
      <c r="A57" s="46"/>
    </row>
  </sheetData>
  <sheetProtection sheet="1" objects="1" scenarios="1"/>
  <protectedRanges>
    <protectedRange sqref="B7" name="Range1"/>
  </protectedRanges>
  <conditionalFormatting sqref="L16:L17">
    <cfRule type="dataBar" priority="7">
      <dataBar>
        <cfvo type="min"/>
        <cfvo type="max"/>
        <color rgb="FF638EC6"/>
      </dataBar>
      <extLst>
        <ext xmlns:x14="http://schemas.microsoft.com/office/spreadsheetml/2009/9/main" uri="{B025F937-C7B1-47D3-B67F-A62EFF666E3E}">
          <x14:id>{0CFFCF59-4A1B-4394-B81D-7BB4BFC1FF85}</x14:id>
        </ext>
      </extLst>
    </cfRule>
  </conditionalFormatting>
  <conditionalFormatting sqref="L18:L19">
    <cfRule type="dataBar" priority="8">
      <dataBar>
        <cfvo type="min"/>
        <cfvo type="max"/>
        <color rgb="FF638EC6"/>
      </dataBar>
      <extLst>
        <ext xmlns:x14="http://schemas.microsoft.com/office/spreadsheetml/2009/9/main" uri="{B025F937-C7B1-47D3-B67F-A62EFF666E3E}">
          <x14:id>{6FCC1F9A-A40F-4CAD-9558-28AFC6F04AE0}</x14:id>
        </ext>
      </extLst>
    </cfRule>
  </conditionalFormatting>
  <conditionalFormatting sqref="C9:C21">
    <cfRule type="dataBar" priority="2">
      <dataBar>
        <cfvo type="num" val="0"/>
        <cfvo type="num" val="1"/>
        <color rgb="FFB4A9D4"/>
      </dataBar>
      <extLst>
        <ext xmlns:x14="http://schemas.microsoft.com/office/spreadsheetml/2009/9/main" uri="{B025F937-C7B1-47D3-B67F-A62EFF666E3E}">
          <x14:id>{3EB245E8-793C-40A8-A790-908882059D5C}</x14:id>
        </ext>
      </extLst>
    </cfRule>
  </conditionalFormatting>
  <conditionalFormatting sqref="H9:J21">
    <cfRule type="dataBar" priority="1">
      <dataBar>
        <cfvo type="num" val="0"/>
        <cfvo type="num" val="1"/>
        <color rgb="FFB4A9D4"/>
      </dataBar>
      <extLst>
        <ext xmlns:x14="http://schemas.microsoft.com/office/spreadsheetml/2009/9/main" uri="{B025F937-C7B1-47D3-B67F-A62EFF666E3E}">
          <x14:id>{56051A23-8971-433D-B91D-4780B9AE1858}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FFCF59-4A1B-4394-B81D-7BB4BFC1FF85}">
            <x14:dataBar minLength="0" maxLength="100" border="1" negativeBarBorderColorSameAsPositive="0">
              <x14:cfvo type="autoMin"/>
              <x14:cfvo type="autoMax"/>
              <x14:borderColor rgb="FF638EC6"/>
              <x14:negativeFillColor rgb="FFFF0000"/>
              <x14:negativeBorderColor rgb="FFFF0000"/>
              <x14:axisColor rgb="FF000000"/>
            </x14:dataBar>
          </x14:cfRule>
          <xm:sqref>L16:L17</xm:sqref>
        </x14:conditionalFormatting>
        <x14:conditionalFormatting xmlns:xm="http://schemas.microsoft.com/office/excel/2006/main">
          <x14:cfRule type="dataBar" id="{6FCC1F9A-A40F-4CAD-9558-28AFC6F04AE0}">
            <x14:dataBar minLength="0" maxLength="100" border="1" negativeBarBorderColorSameAsPositive="0">
              <x14:cfvo type="autoMin"/>
              <x14:cfvo type="autoMax"/>
              <x14:borderColor rgb="FF638EC6"/>
              <x14:negativeFillColor rgb="FFFF0000"/>
              <x14:negativeBorderColor rgb="FFFF0000"/>
              <x14:axisColor rgb="FF000000"/>
            </x14:dataBar>
          </x14:cfRule>
          <xm:sqref>L18:L19</xm:sqref>
        </x14:conditionalFormatting>
        <x14:conditionalFormatting xmlns:xm="http://schemas.microsoft.com/office/excel/2006/main">
          <x14:cfRule type="dataBar" id="{3EB245E8-793C-40A8-A790-908882059D5C}">
            <x14:dataBar minLength="0" maxLength="100" gradient="0">
              <x14:cfvo type="num">
                <xm:f>0</xm:f>
              </x14:cfvo>
              <x14:cfvo type="num">
                <xm:f>1</xm:f>
              </x14:cfvo>
              <x14:negativeFillColor rgb="FFFF0000"/>
              <x14:axisColor rgb="FF000000"/>
            </x14:dataBar>
          </x14:cfRule>
          <xm:sqref>C9:C21</xm:sqref>
        </x14:conditionalFormatting>
        <x14:conditionalFormatting xmlns:xm="http://schemas.microsoft.com/office/excel/2006/main">
          <x14:cfRule type="dataBar" id="{56051A23-8971-433D-B91D-4780B9AE1858}">
            <x14:dataBar minLength="0" maxLength="100" gradient="0">
              <x14:cfvo type="num">
                <xm:f>0</xm:f>
              </x14:cfvo>
              <x14:cfvo type="num">
                <xm:f>1</xm:f>
              </x14:cfvo>
              <x14:negativeFillColor rgb="FFFF0000"/>
              <x14:axisColor rgb="FF000000"/>
            </x14:dataBar>
          </x14:cfRule>
          <xm:sqref>H9:J21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4 - Full data'!$L$2:$L$6</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65"/>
  <sheetViews>
    <sheetView zoomScale="75" zoomScaleNormal="75" workbookViewId="0"/>
  </sheetViews>
  <sheetFormatPr defaultColWidth="8.7109375" defaultRowHeight="15" x14ac:dyDescent="0.25"/>
  <cols>
    <col min="1" max="1" width="54.7109375" style="22" customWidth="1"/>
    <col min="2" max="10" width="14.85546875" style="22" customWidth="1"/>
    <col min="11" max="11" width="13.42578125" style="22" customWidth="1"/>
    <col min="12" max="12" width="9.5703125" style="22" bestFit="1" customWidth="1"/>
    <col min="13" max="16384" width="8.7109375" style="22"/>
  </cols>
  <sheetData>
    <row r="1" spans="1:35" ht="21" x14ac:dyDescent="0.35">
      <c r="A1" s="21" t="s">
        <v>34</v>
      </c>
      <c r="B1" s="21"/>
      <c r="C1" s="21"/>
      <c r="D1" s="21"/>
      <c r="E1" s="21"/>
      <c r="F1" s="21"/>
      <c r="G1" s="21"/>
      <c r="H1" s="23"/>
      <c r="I1" s="23"/>
      <c r="J1" s="23"/>
      <c r="K1" s="23"/>
    </row>
    <row r="2" spans="1:35" ht="21" x14ac:dyDescent="0.35">
      <c r="A2" s="37" t="s">
        <v>769</v>
      </c>
      <c r="B2" s="20"/>
      <c r="C2" s="20"/>
      <c r="D2" s="20"/>
      <c r="E2" s="20"/>
      <c r="F2" s="20"/>
      <c r="G2" s="20"/>
      <c r="H2" s="23"/>
      <c r="I2" s="23"/>
      <c r="J2" s="23"/>
      <c r="K2" s="23"/>
    </row>
    <row r="3" spans="1:35" ht="21" x14ac:dyDescent="0.35">
      <c r="A3" s="26" t="s">
        <v>608</v>
      </c>
      <c r="B3" s="20"/>
      <c r="C3" s="20"/>
      <c r="D3" s="20"/>
      <c r="E3" s="20"/>
      <c r="F3" s="20"/>
      <c r="G3" s="20"/>
      <c r="H3" s="23"/>
      <c r="I3" s="23"/>
      <c r="J3" s="23"/>
      <c r="K3" s="23"/>
    </row>
    <row r="4" spans="1:35" s="198" customFormat="1" ht="15.95" customHeight="1" x14ac:dyDescent="0.35">
      <c r="A4" s="222" t="s">
        <v>745</v>
      </c>
      <c r="B4" s="223"/>
      <c r="C4" s="223"/>
      <c r="D4" s="223"/>
      <c r="E4" s="223"/>
      <c r="F4" s="223"/>
      <c r="G4" s="223"/>
      <c r="H4" s="224"/>
      <c r="I4" s="224"/>
      <c r="J4" s="224"/>
      <c r="K4" s="224"/>
    </row>
    <row r="5" spans="1:35" s="198" customFormat="1" ht="15.95" customHeight="1" x14ac:dyDescent="0.35">
      <c r="A5" s="222" t="s">
        <v>746</v>
      </c>
      <c r="B5" s="223"/>
      <c r="C5" s="223"/>
      <c r="D5" s="223"/>
      <c r="E5" s="223"/>
      <c r="F5" s="223"/>
      <c r="G5" s="223"/>
      <c r="H5" s="224"/>
      <c r="I5" s="224"/>
      <c r="J5" s="224"/>
      <c r="K5" s="224"/>
    </row>
    <row r="6" spans="1:35" ht="15.75" x14ac:dyDescent="0.25">
      <c r="A6" s="26" t="s">
        <v>751</v>
      </c>
      <c r="B6" s="63"/>
      <c r="C6" s="63"/>
      <c r="D6" s="63"/>
      <c r="E6" s="63"/>
      <c r="F6" s="63"/>
      <c r="G6" s="63"/>
      <c r="H6" s="30"/>
      <c r="I6" s="30"/>
      <c r="J6" s="30"/>
      <c r="K6" s="30"/>
      <c r="W6" s="24"/>
      <c r="X6" s="24"/>
      <c r="Y6" s="24"/>
      <c r="Z6" s="24"/>
      <c r="AA6" s="24"/>
      <c r="AB6" s="24"/>
      <c r="AC6" s="24"/>
      <c r="AD6" s="24"/>
      <c r="AE6" s="24"/>
      <c r="AF6" s="24"/>
      <c r="AG6" s="24"/>
      <c r="AH6" s="24"/>
      <c r="AI6" s="24"/>
    </row>
    <row r="7" spans="1:35" ht="32.25" customHeight="1" x14ac:dyDescent="0.25">
      <c r="A7" s="211" t="s">
        <v>702</v>
      </c>
      <c r="B7" s="203" t="s">
        <v>222</v>
      </c>
      <c r="C7" s="61"/>
      <c r="D7" s="27"/>
      <c r="E7" s="27"/>
      <c r="F7" s="27"/>
      <c r="G7" s="27"/>
      <c r="H7" s="27"/>
      <c r="I7" s="27"/>
      <c r="J7" s="27"/>
      <c r="K7" s="27"/>
      <c r="L7" s="27"/>
      <c r="M7" s="27"/>
      <c r="N7" s="27"/>
      <c r="O7" s="27"/>
      <c r="P7" s="27"/>
      <c r="Q7" s="27"/>
      <c r="Y7" s="238"/>
      <c r="Z7" s="238"/>
      <c r="AA7" s="238"/>
      <c r="AB7" s="238"/>
      <c r="AC7" s="238"/>
      <c r="AD7" s="238"/>
      <c r="AE7" s="238"/>
      <c r="AF7" s="238"/>
      <c r="AG7" s="238"/>
      <c r="AH7" s="24"/>
      <c r="AI7" s="24"/>
    </row>
    <row r="8" spans="1:35" ht="66" customHeight="1" x14ac:dyDescent="0.25">
      <c r="A8" s="68" t="s">
        <v>610</v>
      </c>
      <c r="B8" s="32" t="s">
        <v>618</v>
      </c>
      <c r="C8" s="32" t="s">
        <v>314</v>
      </c>
      <c r="D8" s="32" t="s">
        <v>60</v>
      </c>
      <c r="E8" s="32" t="s">
        <v>619</v>
      </c>
      <c r="F8" s="32" t="s">
        <v>620</v>
      </c>
      <c r="G8" s="32" t="s">
        <v>621</v>
      </c>
      <c r="H8" s="32" t="s">
        <v>315</v>
      </c>
      <c r="I8" s="32" t="s">
        <v>316</v>
      </c>
      <c r="J8" s="32" t="s">
        <v>317</v>
      </c>
      <c r="K8" s="27"/>
      <c r="L8" s="33"/>
      <c r="M8" s="27"/>
      <c r="N8" s="27"/>
      <c r="O8" s="27"/>
      <c r="P8" s="27"/>
      <c r="Q8" s="27"/>
      <c r="Y8" s="50"/>
      <c r="Z8" s="50"/>
      <c r="AA8" s="50"/>
      <c r="AB8" s="50"/>
      <c r="AC8" s="50"/>
      <c r="AD8" s="50"/>
      <c r="AE8" s="19"/>
      <c r="AF8" s="19"/>
      <c r="AG8" s="19"/>
      <c r="AH8" s="24"/>
      <c r="AI8" s="24"/>
    </row>
    <row r="9" spans="1:35" s="23" customFormat="1" ht="15.75" x14ac:dyDescent="0.25">
      <c r="A9" s="154" t="str">
        <f xml:space="preserve"> "Total " &amp;$B$7</f>
        <v>Total All time</v>
      </c>
      <c r="B9" s="178">
        <f>VLOOKUP($A9,'Table 5 - Full data'!$A$2:$J$1181,2,FALSE)</f>
        <v>323915</v>
      </c>
      <c r="C9" s="132">
        <f>VLOOKUP($A9,'Table 5 - Full data'!$A$2:$J$181,3,FALSE)</f>
        <v>1</v>
      </c>
      <c r="D9" s="179">
        <f>VLOOKUP($A9,'Table 5 - Full data'!$A$2:$J$181,4,FALSE)</f>
        <v>315340</v>
      </c>
      <c r="E9" s="179">
        <f>VLOOKUP($A9,'Table 5 - Full data'!$A$2:$J$181,5,FALSE)</f>
        <v>213585</v>
      </c>
      <c r="F9" s="179">
        <f>VLOOKUP($A9,'Table 5 - Full data'!$A$2:$J$181,6,FALSE)</f>
        <v>90095</v>
      </c>
      <c r="G9" s="179">
        <f>VLOOKUP($A9,'Table 5 - Full data'!$A$2:$J$181,7,FALSE)</f>
        <v>11660</v>
      </c>
      <c r="H9" s="132">
        <f>VLOOKUP($A9,'Table 5 - Full data'!$A$2:$J$181,8,FALSE)</f>
        <v>0.68</v>
      </c>
      <c r="I9" s="132">
        <f>VLOOKUP($A9,'Table 5 - Full data'!$A$2:$J$181,9,FALSE)</f>
        <v>0.28999999999999998</v>
      </c>
      <c r="J9" s="132">
        <f>VLOOKUP($A9,'Table 5 - Full data'!$A$2:$J$181,10,FALSE)</f>
        <v>0.04</v>
      </c>
      <c r="K9" s="30"/>
      <c r="L9" s="33"/>
      <c r="M9" s="30"/>
      <c r="N9" s="30"/>
      <c r="O9" s="30"/>
      <c r="P9" s="30"/>
      <c r="Q9" s="30"/>
      <c r="Y9" s="106"/>
      <c r="Z9" s="106"/>
      <c r="AA9" s="106"/>
      <c r="AB9" s="106"/>
      <c r="AC9" s="106"/>
      <c r="AD9" s="106"/>
      <c r="AE9" s="19"/>
      <c r="AF9" s="19"/>
      <c r="AG9" s="19"/>
      <c r="AH9" s="118"/>
      <c r="AI9" s="118"/>
    </row>
    <row r="10" spans="1:35" ht="15.75" x14ac:dyDescent="0.25">
      <c r="A10" s="41" t="str">
        <f xml:space="preserve"> "Aberdeen City " &amp;$B$7</f>
        <v>Aberdeen City All time</v>
      </c>
      <c r="B10" s="135">
        <f>VLOOKUP($A10,'Table 5 - Full data'!$A$2:$J$1181,2,FALSE)</f>
        <v>9890</v>
      </c>
      <c r="C10" s="111">
        <f>VLOOKUP($A10,'Table 5 - Full data'!$A$2:$J$181,3,FALSE)</f>
        <v>0.03</v>
      </c>
      <c r="D10" s="134">
        <f>VLOOKUP($A10,'Table 5 - Full data'!$A$2:$J$181,4,FALSE)</f>
        <v>9615</v>
      </c>
      <c r="E10" s="134">
        <f>VLOOKUP($A10,'Table 5 - Full data'!$A$2:$J$181,5,FALSE)</f>
        <v>6635</v>
      </c>
      <c r="F10" s="134">
        <f>VLOOKUP($A10,'Table 5 - Full data'!$A$2:$J$181,6,FALSE)</f>
        <v>2620</v>
      </c>
      <c r="G10" s="134">
        <f>VLOOKUP($A10,'Table 5 - Full data'!$A$2:$J$181,7,FALSE)</f>
        <v>360</v>
      </c>
      <c r="H10" s="111">
        <f>VLOOKUP($A10,'Table 5 - Full data'!$A$2:$J$181,8,FALSE)</f>
        <v>0.69</v>
      </c>
      <c r="I10" s="111">
        <f>VLOOKUP($A10,'Table 5 - Full data'!$A$2:$J$181,9,FALSE)</f>
        <v>0.27</v>
      </c>
      <c r="J10" s="111">
        <f>VLOOKUP($A10,'Table 5 - Full data'!$A$2:$J$181,10,FALSE)</f>
        <v>0.04</v>
      </c>
      <c r="K10" s="27"/>
      <c r="L10" s="36"/>
      <c r="M10" s="27"/>
      <c r="N10" s="27"/>
      <c r="O10" s="27"/>
      <c r="P10" s="27"/>
      <c r="Q10" s="27"/>
      <c r="Y10" s="16"/>
      <c r="Z10" s="17"/>
      <c r="AA10" s="16"/>
      <c r="AB10" s="16"/>
      <c r="AC10" s="16"/>
      <c r="AD10" s="16"/>
      <c r="AE10" s="17"/>
      <c r="AF10" s="17"/>
      <c r="AG10" s="17"/>
      <c r="AH10" s="24"/>
      <c r="AI10" s="24"/>
    </row>
    <row r="11" spans="1:35" ht="15.75" x14ac:dyDescent="0.25">
      <c r="A11" s="41" t="str">
        <f xml:space="preserve"> "Aberdeenshire " &amp;$B$7</f>
        <v>Aberdeenshire All time</v>
      </c>
      <c r="B11" s="135">
        <f>VLOOKUP($A11,'Table 5 - Full data'!$A$2:$J$1181,2,FALSE)</f>
        <v>8265</v>
      </c>
      <c r="C11" s="111">
        <f>VLOOKUP($A11,'Table 5 - Full data'!$A$2:$J$181,3,FALSE)</f>
        <v>0.03</v>
      </c>
      <c r="D11" s="134">
        <f>VLOOKUP($A11,'Table 5 - Full data'!$A$2:$J$181,4,FALSE)</f>
        <v>8020</v>
      </c>
      <c r="E11" s="134">
        <f>VLOOKUP($A11,'Table 5 - Full data'!$A$2:$J$181,5,FALSE)</f>
        <v>5395</v>
      </c>
      <c r="F11" s="134">
        <f>VLOOKUP($A11,'Table 5 - Full data'!$A$2:$J$181,6,FALSE)</f>
        <v>2345</v>
      </c>
      <c r="G11" s="134">
        <f>VLOOKUP($A11,'Table 5 - Full data'!$A$2:$J$181,7,FALSE)</f>
        <v>275</v>
      </c>
      <c r="H11" s="111">
        <f>VLOOKUP($A11,'Table 5 - Full data'!$A$2:$J$181,8,FALSE)</f>
        <v>0.67</v>
      </c>
      <c r="I11" s="111">
        <f>VLOOKUP($A11,'Table 5 - Full data'!$A$2:$J$181,9,FALSE)</f>
        <v>0.28999999999999998</v>
      </c>
      <c r="J11" s="111">
        <f>VLOOKUP($A11,'Table 5 - Full data'!$A$2:$J$181,10,FALSE)</f>
        <v>0.03</v>
      </c>
      <c r="K11" s="27"/>
      <c r="L11" s="36"/>
      <c r="M11" s="37"/>
      <c r="N11" s="27"/>
      <c r="O11" s="27"/>
      <c r="P11" s="27"/>
      <c r="Q11" s="27"/>
      <c r="Y11" s="6"/>
      <c r="Z11" s="7"/>
      <c r="AA11" s="16"/>
      <c r="AB11" s="3"/>
      <c r="AC11" s="3"/>
      <c r="AD11" s="52"/>
      <c r="AE11" s="7"/>
      <c r="AF11" s="7"/>
      <c r="AG11" s="7"/>
      <c r="AH11" s="24"/>
      <c r="AI11" s="24"/>
    </row>
    <row r="12" spans="1:35" ht="15.75" x14ac:dyDescent="0.25">
      <c r="A12" s="41" t="str">
        <f xml:space="preserve"> "Angus " &amp;$B$7</f>
        <v>Angus All time</v>
      </c>
      <c r="B12" s="135">
        <f>VLOOKUP($A12,'Table 5 - Full data'!$A$2:$J$1181,2,FALSE)</f>
        <v>5960</v>
      </c>
      <c r="C12" s="111">
        <f>VLOOKUP($A12,'Table 5 - Full data'!$A$2:$J$181,3,FALSE)</f>
        <v>0.02</v>
      </c>
      <c r="D12" s="134">
        <f>VLOOKUP($A12,'Table 5 - Full data'!$A$2:$J$181,4,FALSE)</f>
        <v>5825</v>
      </c>
      <c r="E12" s="134">
        <f>VLOOKUP($A12,'Table 5 - Full data'!$A$2:$J$181,5,FALSE)</f>
        <v>4155</v>
      </c>
      <c r="F12" s="134">
        <f>VLOOKUP($A12,'Table 5 - Full data'!$A$2:$J$181,6,FALSE)</f>
        <v>1475</v>
      </c>
      <c r="G12" s="134">
        <f>VLOOKUP($A12,'Table 5 - Full data'!$A$2:$J$181,7,FALSE)</f>
        <v>200</v>
      </c>
      <c r="H12" s="111">
        <f>VLOOKUP($A12,'Table 5 - Full data'!$A$2:$J$181,8,FALSE)</f>
        <v>0.71</v>
      </c>
      <c r="I12" s="111">
        <f>VLOOKUP($A12,'Table 5 - Full data'!$A$2:$J$181,9,FALSE)</f>
        <v>0.25</v>
      </c>
      <c r="J12" s="111">
        <f>VLOOKUP($A12,'Table 5 - Full data'!$A$2:$J$181,10,FALSE)</f>
        <v>0.03</v>
      </c>
      <c r="K12" s="27"/>
      <c r="L12" s="36"/>
      <c r="M12" s="37"/>
      <c r="N12" s="27"/>
      <c r="O12" s="27"/>
      <c r="P12" s="27"/>
      <c r="Q12" s="27"/>
      <c r="Y12" s="6"/>
      <c r="Z12" s="7"/>
      <c r="AA12" s="16"/>
      <c r="AB12" s="3"/>
      <c r="AC12" s="3"/>
      <c r="AD12" s="52"/>
      <c r="AE12" s="7"/>
      <c r="AF12" s="7"/>
      <c r="AG12" s="7"/>
      <c r="AH12" s="24"/>
      <c r="AI12" s="24"/>
    </row>
    <row r="13" spans="1:35" ht="15.75" x14ac:dyDescent="0.25">
      <c r="A13" s="41" t="str">
        <f xml:space="preserve"> "Argyll &amp; Bute " &amp;$B$7</f>
        <v>Argyll &amp; Bute All time</v>
      </c>
      <c r="B13" s="135">
        <f>VLOOKUP($A13,'Table 5 - Full data'!$A$2:$J$1181,2,FALSE)</f>
        <v>3565</v>
      </c>
      <c r="C13" s="111">
        <f>VLOOKUP($A13,'Table 5 - Full data'!$A$2:$J$181,3,FALSE)</f>
        <v>0.01</v>
      </c>
      <c r="D13" s="134">
        <f>VLOOKUP($A13,'Table 5 - Full data'!$A$2:$J$181,4,FALSE)</f>
        <v>3490</v>
      </c>
      <c r="E13" s="134">
        <f>VLOOKUP($A13,'Table 5 - Full data'!$A$2:$J$181,5,FALSE)</f>
        <v>2420</v>
      </c>
      <c r="F13" s="134">
        <f>VLOOKUP($A13,'Table 5 - Full data'!$A$2:$J$181,6,FALSE)</f>
        <v>960</v>
      </c>
      <c r="G13" s="134">
        <f>VLOOKUP($A13,'Table 5 - Full data'!$A$2:$J$181,7,FALSE)</f>
        <v>110</v>
      </c>
      <c r="H13" s="111">
        <f>VLOOKUP($A13,'Table 5 - Full data'!$A$2:$J$181,8,FALSE)</f>
        <v>0.69</v>
      </c>
      <c r="I13" s="111">
        <f>VLOOKUP($A13,'Table 5 - Full data'!$A$2:$J$181,9,FALSE)</f>
        <v>0.27</v>
      </c>
      <c r="J13" s="111">
        <f>VLOOKUP($A13,'Table 5 - Full data'!$A$2:$J$181,10,FALSE)</f>
        <v>0.03</v>
      </c>
      <c r="K13" s="27"/>
      <c r="L13" s="36"/>
      <c r="M13" s="37"/>
      <c r="N13" s="27"/>
      <c r="O13" s="27"/>
      <c r="P13" s="27"/>
      <c r="Q13" s="27"/>
      <c r="Y13" s="6"/>
      <c r="Z13" s="7"/>
      <c r="AA13" s="16"/>
      <c r="AB13" s="3"/>
      <c r="AC13" s="3"/>
      <c r="AD13" s="52"/>
      <c r="AE13" s="7"/>
      <c r="AF13" s="7"/>
      <c r="AG13" s="7"/>
      <c r="AH13" s="24"/>
      <c r="AI13" s="24"/>
    </row>
    <row r="14" spans="1:35" ht="15.75" x14ac:dyDescent="0.25">
      <c r="A14" s="41" t="str">
        <f xml:space="preserve"> "Clackmannanshire " &amp;$B$7</f>
        <v>Clackmannanshire All time</v>
      </c>
      <c r="B14" s="135">
        <f>VLOOKUP($A14,'Table 5 - Full data'!$A$2:$J$1181,2,FALSE)</f>
        <v>3490</v>
      </c>
      <c r="C14" s="111">
        <f>VLOOKUP($A14,'Table 5 - Full data'!$A$2:$J$181,3,FALSE)</f>
        <v>0.01</v>
      </c>
      <c r="D14" s="134">
        <f>VLOOKUP($A14,'Table 5 - Full data'!$A$2:$J$181,4,FALSE)</f>
        <v>3405</v>
      </c>
      <c r="E14" s="134">
        <f>VLOOKUP($A14,'Table 5 - Full data'!$A$2:$J$181,5,FALSE)</f>
        <v>2445</v>
      </c>
      <c r="F14" s="134">
        <f>VLOOKUP($A14,'Table 5 - Full data'!$A$2:$J$181,6,FALSE)</f>
        <v>830</v>
      </c>
      <c r="G14" s="134">
        <f>VLOOKUP($A14,'Table 5 - Full data'!$A$2:$J$181,7,FALSE)</f>
        <v>130</v>
      </c>
      <c r="H14" s="111">
        <f>VLOOKUP($A14,'Table 5 - Full data'!$A$2:$J$181,8,FALSE)</f>
        <v>0.72</v>
      </c>
      <c r="I14" s="111">
        <f>VLOOKUP($A14,'Table 5 - Full data'!$A$2:$J$181,9,FALSE)</f>
        <v>0.24</v>
      </c>
      <c r="J14" s="111">
        <f>VLOOKUP($A14,'Table 5 - Full data'!$A$2:$J$181,10,FALSE)</f>
        <v>0.04</v>
      </c>
      <c r="K14" s="27"/>
      <c r="L14" s="36"/>
      <c r="M14" s="37"/>
      <c r="N14" s="27"/>
      <c r="O14" s="27"/>
      <c r="P14" s="27"/>
      <c r="Q14" s="27"/>
      <c r="Y14" s="6"/>
      <c r="Z14" s="7"/>
      <c r="AA14" s="16"/>
      <c r="AB14" s="3"/>
      <c r="AC14" s="3"/>
      <c r="AD14" s="52"/>
      <c r="AE14" s="7"/>
      <c r="AF14" s="7"/>
      <c r="AG14" s="7"/>
      <c r="AH14" s="24"/>
      <c r="AI14" s="24"/>
    </row>
    <row r="15" spans="1:35" ht="15.75" x14ac:dyDescent="0.25">
      <c r="A15" s="41" t="str">
        <f xml:space="preserve"> "Dumfries &amp; Galloway " &amp;$B$7</f>
        <v>Dumfries &amp; Galloway All time</v>
      </c>
      <c r="B15" s="135">
        <f>VLOOKUP($A15,'Table 5 - Full data'!$A$2:$J$1181,2,FALSE)</f>
        <v>8240</v>
      </c>
      <c r="C15" s="111">
        <f>VLOOKUP($A15,'Table 5 - Full data'!$A$2:$J$181,3,FALSE)</f>
        <v>0.03</v>
      </c>
      <c r="D15" s="134">
        <f>VLOOKUP($A15,'Table 5 - Full data'!$A$2:$J$181,4,FALSE)</f>
        <v>8030</v>
      </c>
      <c r="E15" s="134">
        <f>VLOOKUP($A15,'Table 5 - Full data'!$A$2:$J$181,5,FALSE)</f>
        <v>5725</v>
      </c>
      <c r="F15" s="134">
        <f>VLOOKUP($A15,'Table 5 - Full data'!$A$2:$J$181,6,FALSE)</f>
        <v>2000</v>
      </c>
      <c r="G15" s="134">
        <f>VLOOKUP($A15,'Table 5 - Full data'!$A$2:$J$181,7,FALSE)</f>
        <v>305</v>
      </c>
      <c r="H15" s="111">
        <f>VLOOKUP($A15,'Table 5 - Full data'!$A$2:$J$181,8,FALSE)</f>
        <v>0.71</v>
      </c>
      <c r="I15" s="111">
        <f>VLOOKUP($A15,'Table 5 - Full data'!$A$2:$J$181,9,FALSE)</f>
        <v>0.25</v>
      </c>
      <c r="J15" s="111">
        <f>VLOOKUP($A15,'Table 5 - Full data'!$A$2:$J$181,10,FALSE)</f>
        <v>0.04</v>
      </c>
      <c r="K15" s="27"/>
      <c r="L15" s="36"/>
      <c r="M15" s="37"/>
      <c r="N15" s="27"/>
      <c r="O15" s="27"/>
      <c r="P15" s="27"/>
      <c r="Q15" s="27"/>
      <c r="Y15" s="6"/>
      <c r="Z15" s="7"/>
      <c r="AA15" s="16"/>
      <c r="AB15" s="3"/>
      <c r="AC15" s="3"/>
      <c r="AD15" s="52"/>
      <c r="AE15" s="7"/>
      <c r="AF15" s="7"/>
      <c r="AG15" s="7"/>
      <c r="AH15" s="24"/>
      <c r="AI15" s="24"/>
    </row>
    <row r="16" spans="1:35" ht="15.75" x14ac:dyDescent="0.25">
      <c r="A16" s="41" t="str">
        <f xml:space="preserve"> "Dundee City " &amp;$B$7</f>
        <v>Dundee City All time</v>
      </c>
      <c r="B16" s="135">
        <f>VLOOKUP($A16,'Table 5 - Full data'!$A$2:$J$1181,2,FALSE)</f>
        <v>10925</v>
      </c>
      <c r="C16" s="111">
        <f>VLOOKUP($A16,'Table 5 - Full data'!$A$2:$J$181,3,FALSE)</f>
        <v>0.03</v>
      </c>
      <c r="D16" s="134">
        <f>VLOOKUP($A16,'Table 5 - Full data'!$A$2:$J$181,4,FALSE)</f>
        <v>10620</v>
      </c>
      <c r="E16" s="134">
        <f>VLOOKUP($A16,'Table 5 - Full data'!$A$2:$J$181,5,FALSE)</f>
        <v>7645</v>
      </c>
      <c r="F16" s="134">
        <f>VLOOKUP($A16,'Table 5 - Full data'!$A$2:$J$181,6,FALSE)</f>
        <v>2545</v>
      </c>
      <c r="G16" s="134">
        <f>VLOOKUP($A16,'Table 5 - Full data'!$A$2:$J$181,7,FALSE)</f>
        <v>430</v>
      </c>
      <c r="H16" s="111">
        <f>VLOOKUP($A16,'Table 5 - Full data'!$A$2:$J$181,8,FALSE)</f>
        <v>0.72</v>
      </c>
      <c r="I16" s="111">
        <f>VLOOKUP($A16,'Table 5 - Full data'!$A$2:$J$181,9,FALSE)</f>
        <v>0.24</v>
      </c>
      <c r="J16" s="111">
        <f>VLOOKUP($A16,'Table 5 - Full data'!$A$2:$J$181,10,FALSE)</f>
        <v>0.04</v>
      </c>
      <c r="K16" s="27"/>
      <c r="L16" s="36"/>
      <c r="M16" s="37"/>
      <c r="N16" s="27"/>
      <c r="O16" s="27"/>
      <c r="P16" s="27"/>
      <c r="Q16" s="27"/>
      <c r="Y16" s="6"/>
      <c r="Z16" s="7"/>
      <c r="AA16" s="16"/>
      <c r="AB16" s="3"/>
      <c r="AC16" s="3"/>
      <c r="AD16" s="52"/>
      <c r="AE16" s="7"/>
      <c r="AF16" s="7"/>
      <c r="AG16" s="7"/>
      <c r="AH16" s="24"/>
      <c r="AI16" s="24"/>
    </row>
    <row r="17" spans="1:35" ht="15.75" x14ac:dyDescent="0.25">
      <c r="A17" s="41" t="str">
        <f xml:space="preserve"> "East Ayrshire " &amp;$B$7</f>
        <v>East Ayrshire All time</v>
      </c>
      <c r="B17" s="135">
        <f>VLOOKUP($A17,'Table 5 - Full data'!$A$2:$J$1181,2,FALSE)</f>
        <v>9485</v>
      </c>
      <c r="C17" s="111">
        <f>VLOOKUP($A17,'Table 5 - Full data'!$A$2:$J$181,3,FALSE)</f>
        <v>0.03</v>
      </c>
      <c r="D17" s="134">
        <f>VLOOKUP($A17,'Table 5 - Full data'!$A$2:$J$181,4,FALSE)</f>
        <v>9280</v>
      </c>
      <c r="E17" s="134">
        <f>VLOOKUP($A17,'Table 5 - Full data'!$A$2:$J$181,5,FALSE)</f>
        <v>6630</v>
      </c>
      <c r="F17" s="134">
        <f>VLOOKUP($A17,'Table 5 - Full data'!$A$2:$J$181,6,FALSE)</f>
        <v>2285</v>
      </c>
      <c r="G17" s="134">
        <f>VLOOKUP($A17,'Table 5 - Full data'!$A$2:$J$181,7,FALSE)</f>
        <v>365</v>
      </c>
      <c r="H17" s="111">
        <f>VLOOKUP($A17,'Table 5 - Full data'!$A$2:$J$181,8,FALSE)</f>
        <v>0.71</v>
      </c>
      <c r="I17" s="111">
        <f>VLOOKUP($A17,'Table 5 - Full data'!$A$2:$J$181,9,FALSE)</f>
        <v>0.25</v>
      </c>
      <c r="J17" s="111">
        <f>VLOOKUP($A17,'Table 5 - Full data'!$A$2:$J$181,10,FALSE)</f>
        <v>0.04</v>
      </c>
      <c r="K17" s="27"/>
      <c r="L17" s="36"/>
      <c r="M17" s="37"/>
      <c r="N17" s="27"/>
      <c r="O17" s="27"/>
      <c r="P17" s="27"/>
      <c r="Q17" s="27"/>
      <c r="Y17" s="6"/>
      <c r="Z17" s="7"/>
      <c r="AA17" s="16"/>
      <c r="AB17" s="3"/>
      <c r="AC17" s="3"/>
      <c r="AD17" s="52"/>
      <c r="AE17" s="7"/>
      <c r="AF17" s="7"/>
      <c r="AG17" s="7"/>
      <c r="AH17" s="24"/>
      <c r="AI17" s="24"/>
    </row>
    <row r="18" spans="1:35" ht="15.75" x14ac:dyDescent="0.25">
      <c r="A18" s="41" t="str">
        <f xml:space="preserve"> "East Dunbartonshire " &amp;$B$7</f>
        <v>East Dunbartonshire All time</v>
      </c>
      <c r="B18" s="135">
        <f>VLOOKUP($A18,'Table 5 - Full data'!$A$2:$J$1181,2,FALSE)</f>
        <v>3175</v>
      </c>
      <c r="C18" s="111">
        <f>VLOOKUP($A18,'Table 5 - Full data'!$A$2:$J$181,3,FALSE)</f>
        <v>0.01</v>
      </c>
      <c r="D18" s="134">
        <f>VLOOKUP($A18,'Table 5 - Full data'!$A$2:$J$181,4,FALSE)</f>
        <v>3100</v>
      </c>
      <c r="E18" s="134">
        <f>VLOOKUP($A18,'Table 5 - Full data'!$A$2:$J$181,5,FALSE)</f>
        <v>2170</v>
      </c>
      <c r="F18" s="134">
        <f>VLOOKUP($A18,'Table 5 - Full data'!$A$2:$J$181,6,FALSE)</f>
        <v>845</v>
      </c>
      <c r="G18" s="134">
        <f>VLOOKUP($A18,'Table 5 - Full data'!$A$2:$J$181,7,FALSE)</f>
        <v>85</v>
      </c>
      <c r="H18" s="111">
        <f>VLOOKUP($A18,'Table 5 - Full data'!$A$2:$J$181,8,FALSE)</f>
        <v>0.7</v>
      </c>
      <c r="I18" s="111">
        <f>VLOOKUP($A18,'Table 5 - Full data'!$A$2:$J$181,9,FALSE)</f>
        <v>0.27</v>
      </c>
      <c r="J18" s="111">
        <f>VLOOKUP($A18,'Table 5 - Full data'!$A$2:$J$181,10,FALSE)</f>
        <v>0.03</v>
      </c>
      <c r="K18" s="27"/>
      <c r="L18" s="36"/>
      <c r="M18" s="37"/>
      <c r="N18" s="27"/>
      <c r="O18" s="27"/>
      <c r="P18" s="27"/>
      <c r="Q18" s="27"/>
      <c r="Y18" s="6"/>
      <c r="Z18" s="7"/>
      <c r="AA18" s="16"/>
      <c r="AB18" s="3"/>
      <c r="AC18" s="3"/>
      <c r="AD18" s="52"/>
      <c r="AE18" s="7"/>
      <c r="AF18" s="7"/>
      <c r="AG18" s="7"/>
      <c r="AH18" s="24"/>
      <c r="AI18" s="24"/>
    </row>
    <row r="19" spans="1:35" ht="15.75" x14ac:dyDescent="0.25">
      <c r="A19" s="41" t="str">
        <f xml:space="preserve"> "East Lothian " &amp;$B$7</f>
        <v>East Lothian All time</v>
      </c>
      <c r="B19" s="135">
        <f>VLOOKUP($A19,'Table 5 - Full data'!$A$2:$J$1181,2,FALSE)</f>
        <v>5260</v>
      </c>
      <c r="C19" s="111">
        <f>VLOOKUP($A19,'Table 5 - Full data'!$A$2:$J$181,3,FALSE)</f>
        <v>0.02</v>
      </c>
      <c r="D19" s="134">
        <f>VLOOKUP($A19,'Table 5 - Full data'!$A$2:$J$181,4,FALSE)</f>
        <v>5110</v>
      </c>
      <c r="E19" s="134">
        <f>VLOOKUP($A19,'Table 5 - Full data'!$A$2:$J$181,5,FALSE)</f>
        <v>3590</v>
      </c>
      <c r="F19" s="134">
        <f>VLOOKUP($A19,'Table 5 - Full data'!$A$2:$J$181,6,FALSE)</f>
        <v>1365</v>
      </c>
      <c r="G19" s="134">
        <f>VLOOKUP($A19,'Table 5 - Full data'!$A$2:$J$181,7,FALSE)</f>
        <v>155</v>
      </c>
      <c r="H19" s="111">
        <f>VLOOKUP($A19,'Table 5 - Full data'!$A$2:$J$181,8,FALSE)</f>
        <v>0.7</v>
      </c>
      <c r="I19" s="111">
        <f>VLOOKUP($A19,'Table 5 - Full data'!$A$2:$J$181,9,FALSE)</f>
        <v>0.27</v>
      </c>
      <c r="J19" s="111">
        <f>VLOOKUP($A19,'Table 5 - Full data'!$A$2:$J$181,10,FALSE)</f>
        <v>0.03</v>
      </c>
      <c r="K19" s="27"/>
      <c r="L19" s="36"/>
      <c r="M19" s="37"/>
      <c r="N19" s="27"/>
      <c r="O19" s="67"/>
      <c r="P19" s="8"/>
      <c r="Q19" s="73"/>
      <c r="R19" s="8"/>
      <c r="S19" s="8"/>
      <c r="T19" s="8"/>
      <c r="U19" s="8"/>
      <c r="V19" s="73"/>
      <c r="W19" s="73"/>
      <c r="X19" s="73"/>
      <c r="Y19" s="6"/>
      <c r="Z19" s="7"/>
      <c r="AA19" s="16"/>
      <c r="AB19" s="3"/>
      <c r="AC19" s="3"/>
      <c r="AD19" s="52"/>
      <c r="AE19" s="7"/>
      <c r="AF19" s="7"/>
      <c r="AG19" s="7"/>
      <c r="AH19" s="24"/>
      <c r="AI19" s="24"/>
    </row>
    <row r="20" spans="1:35" ht="15.75" x14ac:dyDescent="0.25">
      <c r="A20" s="41" t="str">
        <f xml:space="preserve"> "East Renfrewshire " &amp;$B$7</f>
        <v>East Renfrewshire All time</v>
      </c>
      <c r="B20" s="135">
        <f>VLOOKUP($A20,'Table 5 - Full data'!$A$2:$J$1181,2,FALSE)</f>
        <v>2940</v>
      </c>
      <c r="C20" s="111">
        <f>VLOOKUP($A20,'Table 5 - Full data'!$A$2:$J$181,3,FALSE)</f>
        <v>0.01</v>
      </c>
      <c r="D20" s="134">
        <f>VLOOKUP($A20,'Table 5 - Full data'!$A$2:$J$181,4,FALSE)</f>
        <v>2870</v>
      </c>
      <c r="E20" s="134">
        <f>VLOOKUP($A20,'Table 5 - Full data'!$A$2:$J$181,5,FALSE)</f>
        <v>1960</v>
      </c>
      <c r="F20" s="134">
        <f>VLOOKUP($A20,'Table 5 - Full data'!$A$2:$J$181,6,FALSE)</f>
        <v>820</v>
      </c>
      <c r="G20" s="134">
        <f>VLOOKUP($A20,'Table 5 - Full data'!$A$2:$J$181,7,FALSE)</f>
        <v>90</v>
      </c>
      <c r="H20" s="111">
        <f>VLOOKUP($A20,'Table 5 - Full data'!$A$2:$J$181,8,FALSE)</f>
        <v>0.68</v>
      </c>
      <c r="I20" s="111">
        <f>VLOOKUP($A20,'Table 5 - Full data'!$A$2:$J$181,9,FALSE)</f>
        <v>0.28000000000000003</v>
      </c>
      <c r="J20" s="111">
        <f>VLOOKUP($A20,'Table 5 - Full data'!$A$2:$J$181,10,FALSE)</f>
        <v>0.03</v>
      </c>
      <c r="K20" s="27"/>
      <c r="L20" s="36"/>
      <c r="M20" s="37"/>
      <c r="N20" s="27"/>
      <c r="O20" s="27"/>
      <c r="P20" s="27"/>
      <c r="Q20" s="27"/>
      <c r="Y20" s="6"/>
      <c r="Z20" s="7"/>
      <c r="AA20" s="16"/>
      <c r="AB20" s="3"/>
      <c r="AC20" s="3"/>
      <c r="AD20" s="52"/>
      <c r="AE20" s="7"/>
      <c r="AF20" s="7"/>
      <c r="AG20" s="7"/>
      <c r="AH20" s="24"/>
      <c r="AI20" s="24"/>
    </row>
    <row r="21" spans="1:35" ht="15.75" x14ac:dyDescent="0.25">
      <c r="A21" s="41" t="str">
        <f xml:space="preserve"> "Edinburgh, City of " &amp;$B$7</f>
        <v>Edinburgh, City of All time</v>
      </c>
      <c r="B21" s="135">
        <f>VLOOKUP($A21,'Table 5 - Full data'!$A$2:$J$1181,2,FALSE)</f>
        <v>19890</v>
      </c>
      <c r="C21" s="111">
        <f>VLOOKUP($A21,'Table 5 - Full data'!$A$2:$J$181,3,FALSE)</f>
        <v>0.06</v>
      </c>
      <c r="D21" s="134">
        <f>VLOOKUP($A21,'Table 5 - Full data'!$A$2:$J$181,4,FALSE)</f>
        <v>19330</v>
      </c>
      <c r="E21" s="134">
        <f>VLOOKUP($A21,'Table 5 - Full data'!$A$2:$J$181,5,FALSE)</f>
        <v>13395</v>
      </c>
      <c r="F21" s="134">
        <f>VLOOKUP($A21,'Table 5 - Full data'!$A$2:$J$181,6,FALSE)</f>
        <v>5245</v>
      </c>
      <c r="G21" s="134">
        <f>VLOOKUP($A21,'Table 5 - Full data'!$A$2:$J$181,7,FALSE)</f>
        <v>690</v>
      </c>
      <c r="H21" s="111">
        <f>VLOOKUP($A21,'Table 5 - Full data'!$A$2:$J$181,8,FALSE)</f>
        <v>0.69</v>
      </c>
      <c r="I21" s="111">
        <f>VLOOKUP($A21,'Table 5 - Full data'!$A$2:$J$181,9,FALSE)</f>
        <v>0.27</v>
      </c>
      <c r="J21" s="111">
        <f>VLOOKUP($A21,'Table 5 - Full data'!$A$2:$J$181,10,FALSE)</f>
        <v>0.04</v>
      </c>
      <c r="K21" s="27"/>
      <c r="L21" s="36"/>
      <c r="M21" s="37"/>
      <c r="N21" s="27"/>
      <c r="O21" s="27"/>
      <c r="P21" s="27"/>
      <c r="Q21" s="27"/>
      <c r="Y21" s="6"/>
      <c r="Z21" s="7"/>
      <c r="AA21" s="16"/>
      <c r="AB21" s="3"/>
      <c r="AC21" s="3"/>
      <c r="AD21" s="52"/>
      <c r="AE21" s="7"/>
      <c r="AF21" s="7"/>
      <c r="AG21" s="7"/>
      <c r="AH21" s="24"/>
      <c r="AI21" s="24"/>
    </row>
    <row r="22" spans="1:35" s="25" customFormat="1" ht="16.5" customHeight="1" x14ac:dyDescent="0.25">
      <c r="A22" s="41" t="str">
        <f xml:space="preserve"> "Falkirk " &amp;$B$7</f>
        <v>Falkirk All time</v>
      </c>
      <c r="B22" s="135">
        <f>VLOOKUP($A22,'Table 5 - Full data'!$A$2:$J$1181,2,FALSE)</f>
        <v>9085</v>
      </c>
      <c r="C22" s="111">
        <f>VLOOKUP($A22,'Table 5 - Full data'!$A$2:$J$181,3,FALSE)</f>
        <v>0.03</v>
      </c>
      <c r="D22" s="134">
        <f>VLOOKUP($A22,'Table 5 - Full data'!$A$2:$J$181,4,FALSE)</f>
        <v>8865</v>
      </c>
      <c r="E22" s="134">
        <f>VLOOKUP($A22,'Table 5 - Full data'!$A$2:$J$181,5,FALSE)</f>
        <v>6335</v>
      </c>
      <c r="F22" s="134">
        <f>VLOOKUP($A22,'Table 5 - Full data'!$A$2:$J$181,6,FALSE)</f>
        <v>2170</v>
      </c>
      <c r="G22" s="134">
        <f>VLOOKUP($A22,'Table 5 - Full data'!$A$2:$J$181,7,FALSE)</f>
        <v>360</v>
      </c>
      <c r="H22" s="111">
        <f>VLOOKUP($A22,'Table 5 - Full data'!$A$2:$J$181,8,FALSE)</f>
        <v>0.71</v>
      </c>
      <c r="I22" s="111">
        <f>VLOOKUP($A22,'Table 5 - Full data'!$A$2:$J$181,9,FALSE)</f>
        <v>0.25</v>
      </c>
      <c r="J22" s="111">
        <f>VLOOKUP($A22,'Table 5 - Full data'!$A$2:$J$181,10,FALSE)</f>
        <v>0.04</v>
      </c>
      <c r="K22" s="42"/>
      <c r="L22" s="42"/>
      <c r="M22" s="42"/>
      <c r="N22" s="42"/>
      <c r="O22" s="42"/>
      <c r="P22" s="42"/>
      <c r="Q22" s="42"/>
      <c r="W22" s="22"/>
      <c r="X22" s="22"/>
      <c r="Y22" s="54"/>
      <c r="Z22" s="54"/>
      <c r="AA22" s="54"/>
      <c r="AB22" s="54"/>
      <c r="AC22" s="54"/>
      <c r="AD22" s="54"/>
      <c r="AE22" s="54"/>
      <c r="AF22" s="54"/>
      <c r="AG22" s="54"/>
      <c r="AH22" s="54"/>
      <c r="AI22" s="54"/>
    </row>
    <row r="23" spans="1:35" s="25" customFormat="1" ht="17.100000000000001" customHeight="1" x14ac:dyDescent="0.25">
      <c r="A23" s="41" t="str">
        <f xml:space="preserve"> "Fife " &amp;$B$7</f>
        <v>Fife All time</v>
      </c>
      <c r="B23" s="135">
        <f>VLOOKUP($A23,'Table 5 - Full data'!$A$2:$J$1181,2,FALSE)</f>
        <v>23760</v>
      </c>
      <c r="C23" s="111">
        <f>VLOOKUP($A23,'Table 5 - Full data'!$A$2:$J$181,3,FALSE)</f>
        <v>7.0000000000000007E-2</v>
      </c>
      <c r="D23" s="134">
        <f>VLOOKUP($A23,'Table 5 - Full data'!$A$2:$J$181,4,FALSE)</f>
        <v>23150</v>
      </c>
      <c r="E23" s="134">
        <f>VLOOKUP($A23,'Table 5 - Full data'!$A$2:$J$181,5,FALSE)</f>
        <v>16650</v>
      </c>
      <c r="F23" s="134">
        <f>VLOOKUP($A23,'Table 5 - Full data'!$A$2:$J$181,6,FALSE)</f>
        <v>5680</v>
      </c>
      <c r="G23" s="134">
        <f>VLOOKUP($A23,'Table 5 - Full data'!$A$2:$J$181,7,FALSE)</f>
        <v>825</v>
      </c>
      <c r="H23" s="111">
        <f>VLOOKUP($A23,'Table 5 - Full data'!$A$2:$J$181,8,FALSE)</f>
        <v>0.72</v>
      </c>
      <c r="I23" s="111">
        <f>VLOOKUP($A23,'Table 5 - Full data'!$A$2:$J$181,9,FALSE)</f>
        <v>0.25</v>
      </c>
      <c r="J23" s="111">
        <f>VLOOKUP($A23,'Table 5 - Full data'!$A$2:$J$181,10,FALSE)</f>
        <v>0.04</v>
      </c>
      <c r="K23" s="42"/>
      <c r="L23" s="42"/>
      <c r="M23" s="42"/>
      <c r="N23" s="42"/>
      <c r="O23" s="42"/>
      <c r="P23" s="42"/>
      <c r="Q23" s="42"/>
      <c r="W23" s="22"/>
      <c r="X23" s="22"/>
      <c r="Y23" s="54"/>
      <c r="Z23" s="54"/>
      <c r="AA23" s="54"/>
      <c r="AB23" s="54"/>
      <c r="AC23" s="54"/>
      <c r="AD23" s="54"/>
      <c r="AE23" s="54"/>
      <c r="AF23" s="54"/>
      <c r="AG23" s="54"/>
      <c r="AH23" s="54"/>
      <c r="AI23" s="54"/>
    </row>
    <row r="24" spans="1:35" s="25" customFormat="1" ht="15.95" customHeight="1" x14ac:dyDescent="0.25">
      <c r="A24" s="41" t="str">
        <f xml:space="preserve"> "Glasgow City " &amp;$B$7</f>
        <v>Glasgow City All time</v>
      </c>
      <c r="B24" s="135">
        <f>VLOOKUP($A24,'Table 5 - Full data'!$A$2:$J$1181,2,FALSE)</f>
        <v>53910</v>
      </c>
      <c r="C24" s="111">
        <f>VLOOKUP($A24,'Table 5 - Full data'!$A$2:$J$181,3,FALSE)</f>
        <v>0.17</v>
      </c>
      <c r="D24" s="134">
        <f>VLOOKUP($A24,'Table 5 - Full data'!$A$2:$J$181,4,FALSE)</f>
        <v>52165</v>
      </c>
      <c r="E24" s="134">
        <f>VLOOKUP($A24,'Table 5 - Full data'!$A$2:$J$181,5,FALSE)</f>
        <v>35735</v>
      </c>
      <c r="F24" s="134">
        <f>VLOOKUP($A24,'Table 5 - Full data'!$A$2:$J$181,6,FALSE)</f>
        <v>14385</v>
      </c>
      <c r="G24" s="134">
        <f>VLOOKUP($A24,'Table 5 - Full data'!$A$2:$J$181,7,FALSE)</f>
        <v>2045</v>
      </c>
      <c r="H24" s="111">
        <f>VLOOKUP($A24,'Table 5 - Full data'!$A$2:$J$181,8,FALSE)</f>
        <v>0.69</v>
      </c>
      <c r="I24" s="111">
        <f>VLOOKUP($A24,'Table 5 - Full data'!$A$2:$J$181,9,FALSE)</f>
        <v>0.28000000000000003</v>
      </c>
      <c r="J24" s="111">
        <f>VLOOKUP($A24,'Table 5 - Full data'!$A$2:$J$181,10,FALSE)</f>
        <v>0.04</v>
      </c>
      <c r="K24" s="29"/>
      <c r="L24" s="42"/>
      <c r="M24" s="42"/>
      <c r="N24" s="42"/>
      <c r="O24" s="42"/>
      <c r="P24" s="42"/>
      <c r="Q24" s="42"/>
      <c r="W24" s="22"/>
      <c r="X24" s="22"/>
      <c r="Y24" s="54"/>
      <c r="Z24" s="54"/>
      <c r="AA24" s="54"/>
      <c r="AB24" s="54"/>
      <c r="AC24" s="54"/>
      <c r="AD24" s="54"/>
      <c r="AE24" s="54"/>
      <c r="AF24" s="54"/>
      <c r="AG24" s="54"/>
      <c r="AH24" s="54"/>
      <c r="AI24" s="54"/>
    </row>
    <row r="25" spans="1:35" s="25" customFormat="1" ht="15.75" x14ac:dyDescent="0.25">
      <c r="A25" s="41" t="str">
        <f xml:space="preserve"> "Highland " &amp;$B$7</f>
        <v>Highland All time</v>
      </c>
      <c r="B25" s="135">
        <f>VLOOKUP($A25,'Table 5 - Full data'!$A$2:$J$1181,2,FALSE)</f>
        <v>10455</v>
      </c>
      <c r="C25" s="111">
        <f>VLOOKUP($A25,'Table 5 - Full data'!$A$2:$J$181,3,FALSE)</f>
        <v>0.03</v>
      </c>
      <c r="D25" s="134">
        <f>VLOOKUP($A25,'Table 5 - Full data'!$A$2:$J$181,4,FALSE)</f>
        <v>10175</v>
      </c>
      <c r="E25" s="134">
        <f>VLOOKUP($A25,'Table 5 - Full data'!$A$2:$J$181,5,FALSE)</f>
        <v>7110</v>
      </c>
      <c r="F25" s="134">
        <f>VLOOKUP($A25,'Table 5 - Full data'!$A$2:$J$181,6,FALSE)</f>
        <v>2695</v>
      </c>
      <c r="G25" s="134">
        <f>VLOOKUP($A25,'Table 5 - Full data'!$A$2:$J$181,7,FALSE)</f>
        <v>370</v>
      </c>
      <c r="H25" s="111">
        <f>VLOOKUP($A25,'Table 5 - Full data'!$A$2:$J$181,8,FALSE)</f>
        <v>0.7</v>
      </c>
      <c r="I25" s="111">
        <f>VLOOKUP($A25,'Table 5 - Full data'!$A$2:$J$181,9,FALSE)</f>
        <v>0.27</v>
      </c>
      <c r="J25" s="111">
        <f>VLOOKUP($A25,'Table 5 - Full data'!$A$2:$J$181,10,FALSE)</f>
        <v>0.04</v>
      </c>
      <c r="K25" s="42"/>
      <c r="L25" s="42"/>
      <c r="M25" s="42"/>
      <c r="N25" s="42"/>
      <c r="O25" s="42"/>
      <c r="P25" s="42"/>
      <c r="Q25" s="42"/>
      <c r="W25" s="22"/>
      <c r="X25" s="22"/>
      <c r="Y25" s="54"/>
      <c r="Z25" s="54"/>
      <c r="AA25" s="54"/>
      <c r="AB25" s="54"/>
      <c r="AC25" s="54"/>
      <c r="AD25" s="54"/>
      <c r="AE25" s="54"/>
      <c r="AF25" s="54"/>
      <c r="AG25" s="54"/>
      <c r="AH25" s="54"/>
      <c r="AI25" s="54"/>
    </row>
    <row r="26" spans="1:35" s="25" customFormat="1" ht="15.75" x14ac:dyDescent="0.25">
      <c r="A26" s="41" t="str">
        <f xml:space="preserve"> "Inverclyde " &amp;$B$7</f>
        <v>Inverclyde All time</v>
      </c>
      <c r="B26" s="135">
        <f>VLOOKUP($A26,'Table 5 - Full data'!$A$2:$J$1181,2,FALSE)</f>
        <v>5325</v>
      </c>
      <c r="C26" s="111">
        <f>VLOOKUP($A26,'Table 5 - Full data'!$A$2:$J$181,3,FALSE)</f>
        <v>0.02</v>
      </c>
      <c r="D26" s="134">
        <f>VLOOKUP($A26,'Table 5 - Full data'!$A$2:$J$181,4,FALSE)</f>
        <v>5190</v>
      </c>
      <c r="E26" s="134">
        <f>VLOOKUP($A26,'Table 5 - Full data'!$A$2:$J$181,5,FALSE)</f>
        <v>3610</v>
      </c>
      <c r="F26" s="134">
        <f>VLOOKUP($A26,'Table 5 - Full data'!$A$2:$J$181,6,FALSE)</f>
        <v>1400</v>
      </c>
      <c r="G26" s="134">
        <f>VLOOKUP($A26,'Table 5 - Full data'!$A$2:$J$181,7,FALSE)</f>
        <v>185</v>
      </c>
      <c r="H26" s="111">
        <f>VLOOKUP($A26,'Table 5 - Full data'!$A$2:$J$181,8,FALSE)</f>
        <v>0.7</v>
      </c>
      <c r="I26" s="111">
        <f>VLOOKUP($A26,'Table 5 - Full data'!$A$2:$J$181,9,FALSE)</f>
        <v>0.27</v>
      </c>
      <c r="J26" s="111">
        <f>VLOOKUP($A26,'Table 5 - Full data'!$A$2:$J$181,10,FALSE)</f>
        <v>0.04</v>
      </c>
      <c r="K26" s="42"/>
      <c r="L26" s="42"/>
      <c r="M26" s="42"/>
      <c r="N26" s="42"/>
      <c r="O26" s="42"/>
      <c r="P26" s="42"/>
      <c r="Q26" s="42"/>
      <c r="W26" s="22"/>
      <c r="X26" s="22"/>
      <c r="Y26" s="54"/>
      <c r="Z26" s="54"/>
      <c r="AA26" s="54"/>
      <c r="AB26" s="54"/>
      <c r="AC26" s="54"/>
      <c r="AD26" s="54"/>
      <c r="AE26" s="54"/>
      <c r="AF26" s="54"/>
      <c r="AG26" s="54"/>
      <c r="AH26" s="54"/>
      <c r="AI26" s="54"/>
    </row>
    <row r="27" spans="1:35" ht="15.75" x14ac:dyDescent="0.25">
      <c r="A27" s="41" t="str">
        <f xml:space="preserve"> "Midlothian " &amp;$B$7</f>
        <v>Midlothian All time</v>
      </c>
      <c r="B27" s="135">
        <f>VLOOKUP($A27,'Table 5 - Full data'!$A$2:$J$1181,2,FALSE)</f>
        <v>6010</v>
      </c>
      <c r="C27" s="111">
        <f>VLOOKUP($A27,'Table 5 - Full data'!$A$2:$J$181,3,FALSE)</f>
        <v>0.02</v>
      </c>
      <c r="D27" s="134">
        <f>VLOOKUP($A27,'Table 5 - Full data'!$A$2:$J$181,4,FALSE)</f>
        <v>5855</v>
      </c>
      <c r="E27" s="134">
        <f>VLOOKUP($A27,'Table 5 - Full data'!$A$2:$J$181,5,FALSE)</f>
        <v>4095</v>
      </c>
      <c r="F27" s="134">
        <f>VLOOKUP($A27,'Table 5 - Full data'!$A$2:$J$181,6,FALSE)</f>
        <v>1525</v>
      </c>
      <c r="G27" s="134">
        <f>VLOOKUP($A27,'Table 5 - Full data'!$A$2:$J$181,7,FALSE)</f>
        <v>240</v>
      </c>
      <c r="H27" s="111">
        <f>VLOOKUP($A27,'Table 5 - Full data'!$A$2:$J$181,8,FALSE)</f>
        <v>0.7</v>
      </c>
      <c r="I27" s="111">
        <f>VLOOKUP($A27,'Table 5 - Full data'!$A$2:$J$181,9,FALSE)</f>
        <v>0.26</v>
      </c>
      <c r="J27" s="111">
        <f>VLOOKUP($A27,'Table 5 - Full data'!$A$2:$J$181,10,FALSE)</f>
        <v>0.04</v>
      </c>
      <c r="K27" s="27"/>
      <c r="L27" s="27"/>
      <c r="M27" s="27"/>
      <c r="N27" s="27"/>
      <c r="O27" s="27"/>
      <c r="P27" s="27"/>
      <c r="Q27" s="27"/>
    </row>
    <row r="28" spans="1:35" ht="15.75" x14ac:dyDescent="0.25">
      <c r="A28" s="41" t="str">
        <f xml:space="preserve"> "Moray " &amp;$B$7</f>
        <v>Moray All time</v>
      </c>
      <c r="B28" s="135">
        <f>VLOOKUP($A28,'Table 5 - Full data'!$A$2:$J$1181,2,FALSE)</f>
        <v>4340</v>
      </c>
      <c r="C28" s="111">
        <f>VLOOKUP($A28,'Table 5 - Full data'!$A$2:$J$181,3,FALSE)</f>
        <v>0.01</v>
      </c>
      <c r="D28" s="134">
        <f>VLOOKUP($A28,'Table 5 - Full data'!$A$2:$J$181,4,FALSE)</f>
        <v>4215</v>
      </c>
      <c r="E28" s="134">
        <f>VLOOKUP($A28,'Table 5 - Full data'!$A$2:$J$181,5,FALSE)</f>
        <v>2945</v>
      </c>
      <c r="F28" s="134">
        <f>VLOOKUP($A28,'Table 5 - Full data'!$A$2:$J$181,6,FALSE)</f>
        <v>1145</v>
      </c>
      <c r="G28" s="134">
        <f>VLOOKUP($A28,'Table 5 - Full data'!$A$2:$J$181,7,FALSE)</f>
        <v>125</v>
      </c>
      <c r="H28" s="111">
        <f>VLOOKUP($A28,'Table 5 - Full data'!$A$2:$J$181,8,FALSE)</f>
        <v>0.7</v>
      </c>
      <c r="I28" s="111">
        <f>VLOOKUP($A28,'Table 5 - Full data'!$A$2:$J$181,9,FALSE)</f>
        <v>0.27</v>
      </c>
      <c r="J28" s="111">
        <f>VLOOKUP($A28,'Table 5 - Full data'!$A$2:$J$181,10,FALSE)</f>
        <v>0.03</v>
      </c>
      <c r="K28" s="27"/>
      <c r="L28" s="27"/>
      <c r="M28" s="27"/>
      <c r="N28" s="27"/>
      <c r="O28" s="27"/>
      <c r="P28" s="27"/>
      <c r="Q28" s="27"/>
    </row>
    <row r="29" spans="1:35" ht="15.75" x14ac:dyDescent="0.25">
      <c r="A29" s="41" t="str">
        <f xml:space="preserve"> "Na h-Eileanan Siar " &amp;$B$7</f>
        <v>Na h-Eileanan Siar All time</v>
      </c>
      <c r="B29" s="135">
        <f>VLOOKUP($A29,'Table 5 - Full data'!$A$2:$J$1181,2,FALSE)</f>
        <v>925</v>
      </c>
      <c r="C29" s="111">
        <f>VLOOKUP($A29,'Table 5 - Full data'!$A$2:$J$181,3,FALSE)</f>
        <v>0</v>
      </c>
      <c r="D29" s="134">
        <f>VLOOKUP($A29,'Table 5 - Full data'!$A$2:$J$181,4,FALSE)</f>
        <v>900</v>
      </c>
      <c r="E29" s="134">
        <f>VLOOKUP($A29,'Table 5 - Full data'!$A$2:$J$181,5,FALSE)</f>
        <v>595</v>
      </c>
      <c r="F29" s="134">
        <f>VLOOKUP($A29,'Table 5 - Full data'!$A$2:$J$181,6,FALSE)</f>
        <v>280</v>
      </c>
      <c r="G29" s="134">
        <f>VLOOKUP($A29,'Table 5 - Full data'!$A$2:$J$181,7,FALSE)</f>
        <v>25</v>
      </c>
      <c r="H29" s="111">
        <f>VLOOKUP($A29,'Table 5 - Full data'!$A$2:$J$181,8,FALSE)</f>
        <v>0.66</v>
      </c>
      <c r="I29" s="111">
        <f>VLOOKUP($A29,'Table 5 - Full data'!$A$2:$J$181,9,FALSE)</f>
        <v>0.31</v>
      </c>
      <c r="J29" s="111">
        <f>VLOOKUP($A29,'Table 5 - Full data'!$A$2:$J$181,10,FALSE)</f>
        <v>0.03</v>
      </c>
      <c r="K29" s="27"/>
      <c r="L29" s="27"/>
      <c r="M29" s="27"/>
      <c r="N29" s="27"/>
      <c r="O29" s="27"/>
      <c r="P29" s="27"/>
      <c r="Q29" s="27"/>
    </row>
    <row r="30" spans="1:35" ht="15.75" x14ac:dyDescent="0.25">
      <c r="A30" s="41" t="str">
        <f xml:space="preserve"> "North Ayrshire " &amp;$B$7</f>
        <v>North Ayrshire All time</v>
      </c>
      <c r="B30" s="135">
        <f>VLOOKUP($A30,'Table 5 - Full data'!$A$2:$J$1181,2,FALSE)</f>
        <v>10655</v>
      </c>
      <c r="C30" s="111">
        <f>VLOOKUP($A30,'Table 5 - Full data'!$A$2:$J$181,3,FALSE)</f>
        <v>0.03</v>
      </c>
      <c r="D30" s="134">
        <f>VLOOKUP($A30,'Table 5 - Full data'!$A$2:$J$181,4,FALSE)</f>
        <v>10395</v>
      </c>
      <c r="E30" s="134">
        <f>VLOOKUP($A30,'Table 5 - Full data'!$A$2:$J$181,5,FALSE)</f>
        <v>7440</v>
      </c>
      <c r="F30" s="134">
        <f>VLOOKUP($A30,'Table 5 - Full data'!$A$2:$J$181,6,FALSE)</f>
        <v>2530</v>
      </c>
      <c r="G30" s="134">
        <f>VLOOKUP($A30,'Table 5 - Full data'!$A$2:$J$181,7,FALSE)</f>
        <v>420</v>
      </c>
      <c r="H30" s="111">
        <f>VLOOKUP($A30,'Table 5 - Full data'!$A$2:$J$181,8,FALSE)</f>
        <v>0.72</v>
      </c>
      <c r="I30" s="111">
        <f>VLOOKUP($A30,'Table 5 - Full data'!$A$2:$J$181,9,FALSE)</f>
        <v>0.24</v>
      </c>
      <c r="J30" s="111">
        <f>VLOOKUP($A30,'Table 5 - Full data'!$A$2:$J$181,10,FALSE)</f>
        <v>0.04</v>
      </c>
      <c r="K30" s="27"/>
      <c r="L30" s="27"/>
      <c r="M30" s="27"/>
      <c r="N30" s="27"/>
      <c r="O30" s="27"/>
      <c r="P30" s="27"/>
      <c r="Q30" s="27"/>
    </row>
    <row r="31" spans="1:35" ht="15.75" x14ac:dyDescent="0.25">
      <c r="A31" s="41" t="str">
        <f xml:space="preserve"> "North Lanarkshire " &amp;$B$7</f>
        <v>North Lanarkshire All time</v>
      </c>
      <c r="B31" s="135">
        <f>VLOOKUP($A31,'Table 5 - Full data'!$A$2:$J$1181,2,FALSE)</f>
        <v>25105</v>
      </c>
      <c r="C31" s="111">
        <f>VLOOKUP($A31,'Table 5 - Full data'!$A$2:$J$181,3,FALSE)</f>
        <v>0.08</v>
      </c>
      <c r="D31" s="134">
        <f>VLOOKUP($A31,'Table 5 - Full data'!$A$2:$J$181,4,FALSE)</f>
        <v>24555</v>
      </c>
      <c r="E31" s="134">
        <f>VLOOKUP($A31,'Table 5 - Full data'!$A$2:$J$181,5,FALSE)</f>
        <v>17175</v>
      </c>
      <c r="F31" s="134">
        <f>VLOOKUP($A31,'Table 5 - Full data'!$A$2:$J$181,6,FALSE)</f>
        <v>6490</v>
      </c>
      <c r="G31" s="134">
        <f>VLOOKUP($A31,'Table 5 - Full data'!$A$2:$J$181,7,FALSE)</f>
        <v>890</v>
      </c>
      <c r="H31" s="111">
        <f>VLOOKUP($A31,'Table 5 - Full data'!$A$2:$J$181,8,FALSE)</f>
        <v>0.7</v>
      </c>
      <c r="I31" s="111">
        <f>VLOOKUP($A31,'Table 5 - Full data'!$A$2:$J$181,9,FALSE)</f>
        <v>0.26</v>
      </c>
      <c r="J31" s="111">
        <f>VLOOKUP($A31,'Table 5 - Full data'!$A$2:$J$181,10,FALSE)</f>
        <v>0.04</v>
      </c>
      <c r="K31" s="27"/>
      <c r="L31" s="27"/>
      <c r="M31" s="27"/>
      <c r="N31" s="27"/>
      <c r="O31" s="27"/>
      <c r="P31" s="27"/>
      <c r="Q31" s="27"/>
    </row>
    <row r="32" spans="1:35" ht="15.75" x14ac:dyDescent="0.25">
      <c r="A32" s="41" t="str">
        <f xml:space="preserve"> "Orkney Islands " &amp;$B$7</f>
        <v>Orkney Islands All time</v>
      </c>
      <c r="B32" s="135">
        <f>VLOOKUP($A32,'Table 5 - Full data'!$A$2:$J$1181,2,FALSE)</f>
        <v>660</v>
      </c>
      <c r="C32" s="111">
        <f>VLOOKUP($A32,'Table 5 - Full data'!$A$2:$J$181,3,FALSE)</f>
        <v>0</v>
      </c>
      <c r="D32" s="134">
        <f>VLOOKUP($A32,'Table 5 - Full data'!$A$2:$J$181,4,FALSE)</f>
        <v>645</v>
      </c>
      <c r="E32" s="134">
        <f>VLOOKUP($A32,'Table 5 - Full data'!$A$2:$J$181,5,FALSE)</f>
        <v>415</v>
      </c>
      <c r="F32" s="134">
        <f>VLOOKUP($A32,'Table 5 - Full data'!$A$2:$J$181,6,FALSE)</f>
        <v>210</v>
      </c>
      <c r="G32" s="134">
        <f>VLOOKUP($A32,'Table 5 - Full data'!$A$2:$J$181,7,FALSE)</f>
        <v>20</v>
      </c>
      <c r="H32" s="111">
        <f>VLOOKUP($A32,'Table 5 - Full data'!$A$2:$J$181,8,FALSE)</f>
        <v>0.65</v>
      </c>
      <c r="I32" s="111">
        <f>VLOOKUP($A32,'Table 5 - Full data'!$A$2:$J$181,9,FALSE)</f>
        <v>0.32</v>
      </c>
      <c r="J32" s="111">
        <f>VLOOKUP($A32,'Table 5 - Full data'!$A$2:$J$181,10,FALSE)</f>
        <v>0.03</v>
      </c>
      <c r="K32" s="27"/>
      <c r="L32" s="27"/>
      <c r="M32" s="27"/>
      <c r="N32" s="27"/>
      <c r="O32" s="27"/>
      <c r="P32" s="27"/>
      <c r="Q32" s="27"/>
    </row>
    <row r="33" spans="1:17" ht="15.75" x14ac:dyDescent="0.25">
      <c r="A33" s="41" t="str">
        <f xml:space="preserve"> "Perth &amp; Kinross " &amp;$B$7</f>
        <v>Perth &amp; Kinross All time</v>
      </c>
      <c r="B33" s="135">
        <f>VLOOKUP($A33,'Table 5 - Full data'!$A$2:$J$1181,2,FALSE)</f>
        <v>6265</v>
      </c>
      <c r="C33" s="111">
        <f>VLOOKUP($A33,'Table 5 - Full data'!$A$2:$J$181,3,FALSE)</f>
        <v>0.02</v>
      </c>
      <c r="D33" s="134">
        <f>VLOOKUP($A33,'Table 5 - Full data'!$A$2:$J$181,4,FALSE)</f>
        <v>6080</v>
      </c>
      <c r="E33" s="134">
        <f>VLOOKUP($A33,'Table 5 - Full data'!$A$2:$J$181,5,FALSE)</f>
        <v>4270</v>
      </c>
      <c r="F33" s="134">
        <f>VLOOKUP($A33,'Table 5 - Full data'!$A$2:$J$181,6,FALSE)</f>
        <v>1625</v>
      </c>
      <c r="G33" s="134">
        <f>VLOOKUP($A33,'Table 5 - Full data'!$A$2:$J$181,7,FALSE)</f>
        <v>185</v>
      </c>
      <c r="H33" s="111">
        <f>VLOOKUP($A33,'Table 5 - Full data'!$A$2:$J$181,8,FALSE)</f>
        <v>0.7</v>
      </c>
      <c r="I33" s="111">
        <f>VLOOKUP($A33,'Table 5 - Full data'!$A$2:$J$181,9,FALSE)</f>
        <v>0.27</v>
      </c>
      <c r="J33" s="111">
        <f>VLOOKUP($A33,'Table 5 - Full data'!$A$2:$J$181,10,FALSE)</f>
        <v>0.03</v>
      </c>
      <c r="K33" s="27"/>
      <c r="L33" s="27"/>
      <c r="M33" s="27"/>
      <c r="N33" s="27"/>
      <c r="O33" s="27"/>
      <c r="P33" s="27"/>
      <c r="Q33" s="27"/>
    </row>
    <row r="34" spans="1:17" ht="15.75" x14ac:dyDescent="0.25">
      <c r="A34" s="41" t="str">
        <f xml:space="preserve"> "Renfrewshire " &amp;$B$7</f>
        <v>Renfrewshire All time</v>
      </c>
      <c r="B34" s="135">
        <f>VLOOKUP($A34,'Table 5 - Full data'!$A$2:$J$1181,2,FALSE)</f>
        <v>10405</v>
      </c>
      <c r="C34" s="111">
        <f>VLOOKUP($A34,'Table 5 - Full data'!$A$2:$J$181,3,FALSE)</f>
        <v>0.03</v>
      </c>
      <c r="D34" s="134">
        <f>VLOOKUP($A34,'Table 5 - Full data'!$A$2:$J$181,4,FALSE)</f>
        <v>10170</v>
      </c>
      <c r="E34" s="134">
        <f>VLOOKUP($A34,'Table 5 - Full data'!$A$2:$J$181,5,FALSE)</f>
        <v>7070</v>
      </c>
      <c r="F34" s="134">
        <f>VLOOKUP($A34,'Table 5 - Full data'!$A$2:$J$181,6,FALSE)</f>
        <v>2725</v>
      </c>
      <c r="G34" s="134">
        <f>VLOOKUP($A34,'Table 5 - Full data'!$A$2:$J$181,7,FALSE)</f>
        <v>375</v>
      </c>
      <c r="H34" s="111">
        <f>VLOOKUP($A34,'Table 5 - Full data'!$A$2:$J$181,8,FALSE)</f>
        <v>0.7</v>
      </c>
      <c r="I34" s="111">
        <f>VLOOKUP($A34,'Table 5 - Full data'!$A$2:$J$181,9,FALSE)</f>
        <v>0.27</v>
      </c>
      <c r="J34" s="111">
        <f>VLOOKUP($A34,'Table 5 - Full data'!$A$2:$J$181,10,FALSE)</f>
        <v>0.04</v>
      </c>
      <c r="K34" s="27"/>
      <c r="L34" s="27"/>
      <c r="M34" s="27"/>
      <c r="N34" s="27"/>
      <c r="O34" s="27"/>
      <c r="P34" s="27"/>
      <c r="Q34" s="27"/>
    </row>
    <row r="35" spans="1:17" ht="15.75" x14ac:dyDescent="0.25">
      <c r="A35" s="41" t="str">
        <f xml:space="preserve"> "Scottish Borders " &amp;$B$7</f>
        <v>Scottish Borders All time</v>
      </c>
      <c r="B35" s="135">
        <f>VLOOKUP($A35,'Table 5 - Full data'!$A$2:$J$1181,2,FALSE)</f>
        <v>5175</v>
      </c>
      <c r="C35" s="111">
        <f>VLOOKUP($A35,'Table 5 - Full data'!$A$2:$J$181,3,FALSE)</f>
        <v>0.02</v>
      </c>
      <c r="D35" s="134">
        <f>VLOOKUP($A35,'Table 5 - Full data'!$A$2:$J$181,4,FALSE)</f>
        <v>5015</v>
      </c>
      <c r="E35" s="134">
        <f>VLOOKUP($A35,'Table 5 - Full data'!$A$2:$J$181,5,FALSE)</f>
        <v>3600</v>
      </c>
      <c r="F35" s="134">
        <f>VLOOKUP($A35,'Table 5 - Full data'!$A$2:$J$181,6,FALSE)</f>
        <v>1255</v>
      </c>
      <c r="G35" s="134">
        <f>VLOOKUP($A35,'Table 5 - Full data'!$A$2:$J$181,7,FALSE)</f>
        <v>155</v>
      </c>
      <c r="H35" s="111">
        <f>VLOOKUP($A35,'Table 5 - Full data'!$A$2:$J$181,8,FALSE)</f>
        <v>0.72</v>
      </c>
      <c r="I35" s="111">
        <f>VLOOKUP($A35,'Table 5 - Full data'!$A$2:$J$181,9,FALSE)</f>
        <v>0.25</v>
      </c>
      <c r="J35" s="111">
        <f>VLOOKUP($A35,'Table 5 - Full data'!$A$2:$J$181,10,FALSE)</f>
        <v>0.03</v>
      </c>
      <c r="K35" s="27"/>
      <c r="L35" s="27"/>
      <c r="M35" s="27"/>
      <c r="N35" s="27"/>
      <c r="O35" s="27"/>
      <c r="P35" s="27"/>
      <c r="Q35" s="27"/>
    </row>
    <row r="36" spans="1:17" ht="15.75" x14ac:dyDescent="0.25">
      <c r="A36" s="41" t="str">
        <f xml:space="preserve"> "Shetland Islands " &amp;$B$7</f>
        <v>Shetland Islands All time</v>
      </c>
      <c r="B36" s="135">
        <f>VLOOKUP($A36,'Table 5 - Full data'!$A$2:$J$1181,2,FALSE)</f>
        <v>635</v>
      </c>
      <c r="C36" s="111">
        <f>VLOOKUP($A36,'Table 5 - Full data'!$A$2:$J$181,3,FALSE)</f>
        <v>0</v>
      </c>
      <c r="D36" s="134">
        <f>VLOOKUP($A36,'Table 5 - Full data'!$A$2:$J$181,4,FALSE)</f>
        <v>615</v>
      </c>
      <c r="E36" s="134">
        <f>VLOOKUP($A36,'Table 5 - Full data'!$A$2:$J$181,5,FALSE)</f>
        <v>410</v>
      </c>
      <c r="F36" s="134">
        <f>VLOOKUP($A36,'Table 5 - Full data'!$A$2:$J$181,6,FALSE)</f>
        <v>180</v>
      </c>
      <c r="G36" s="134">
        <f>VLOOKUP($A36,'Table 5 - Full data'!$A$2:$J$181,7,FALSE)</f>
        <v>20</v>
      </c>
      <c r="H36" s="111">
        <f>VLOOKUP($A36,'Table 5 - Full data'!$A$2:$J$181,8,FALSE)</f>
        <v>0.67</v>
      </c>
      <c r="I36" s="111">
        <f>VLOOKUP($A36,'Table 5 - Full data'!$A$2:$J$181,9,FALSE)</f>
        <v>0.28999999999999998</v>
      </c>
      <c r="J36" s="111">
        <f>VLOOKUP($A36,'Table 5 - Full data'!$A$2:$J$181,10,FALSE)</f>
        <v>0.03</v>
      </c>
      <c r="K36" s="27"/>
      <c r="L36" s="27"/>
      <c r="M36" s="27"/>
      <c r="N36" s="27"/>
      <c r="O36" s="27"/>
      <c r="P36" s="27"/>
      <c r="Q36" s="27"/>
    </row>
    <row r="37" spans="1:17" ht="15.75" x14ac:dyDescent="0.25">
      <c r="A37" s="41" t="str">
        <f xml:space="preserve"> "South Ayrshire " &amp;$B$7</f>
        <v>South Ayrshire All time</v>
      </c>
      <c r="B37" s="135">
        <f>VLOOKUP($A37,'Table 5 - Full data'!$A$2:$J$1181,2,FALSE)</f>
        <v>6205</v>
      </c>
      <c r="C37" s="111">
        <f>VLOOKUP($A37,'Table 5 - Full data'!$A$2:$J$181,3,FALSE)</f>
        <v>0.02</v>
      </c>
      <c r="D37" s="134">
        <f>VLOOKUP($A37,'Table 5 - Full data'!$A$2:$J$181,4,FALSE)</f>
        <v>6065</v>
      </c>
      <c r="E37" s="134">
        <f>VLOOKUP($A37,'Table 5 - Full data'!$A$2:$J$181,5,FALSE)</f>
        <v>4330</v>
      </c>
      <c r="F37" s="134">
        <f>VLOOKUP($A37,'Table 5 - Full data'!$A$2:$J$181,6,FALSE)</f>
        <v>1540</v>
      </c>
      <c r="G37" s="134">
        <f>VLOOKUP($A37,'Table 5 - Full data'!$A$2:$J$181,7,FALSE)</f>
        <v>200</v>
      </c>
      <c r="H37" s="111">
        <f>VLOOKUP($A37,'Table 5 - Full data'!$A$2:$J$181,8,FALSE)</f>
        <v>0.71</v>
      </c>
      <c r="I37" s="111">
        <f>VLOOKUP($A37,'Table 5 - Full data'!$A$2:$J$181,9,FALSE)</f>
        <v>0.25</v>
      </c>
      <c r="J37" s="111">
        <f>VLOOKUP($A37,'Table 5 - Full data'!$A$2:$J$181,10,FALSE)</f>
        <v>0.03</v>
      </c>
      <c r="K37" s="27"/>
    </row>
    <row r="38" spans="1:17" ht="15.75" x14ac:dyDescent="0.25">
      <c r="A38" s="41" t="str">
        <f xml:space="preserve"> "South Lanarkshire " &amp;$B$7</f>
        <v>South Lanarkshire All time</v>
      </c>
      <c r="B38" s="135">
        <f>VLOOKUP($A38,'Table 5 - Full data'!$A$2:$J$1181,2,FALSE)</f>
        <v>18795</v>
      </c>
      <c r="C38" s="111">
        <f>VLOOKUP($A38,'Table 5 - Full data'!$A$2:$J$181,3,FALSE)</f>
        <v>0.06</v>
      </c>
      <c r="D38" s="134">
        <f>VLOOKUP($A38,'Table 5 - Full data'!$A$2:$J$181,4,FALSE)</f>
        <v>18330</v>
      </c>
      <c r="E38" s="134">
        <f>VLOOKUP($A38,'Table 5 - Full data'!$A$2:$J$181,5,FALSE)</f>
        <v>12875</v>
      </c>
      <c r="F38" s="134">
        <f>VLOOKUP($A38,'Table 5 - Full data'!$A$2:$J$181,6,FALSE)</f>
        <v>4810</v>
      </c>
      <c r="G38" s="134">
        <f>VLOOKUP($A38,'Table 5 - Full data'!$A$2:$J$181,7,FALSE)</f>
        <v>645</v>
      </c>
      <c r="H38" s="111">
        <f>VLOOKUP($A38,'Table 5 - Full data'!$A$2:$J$181,8,FALSE)</f>
        <v>0.7</v>
      </c>
      <c r="I38" s="111">
        <f>VLOOKUP($A38,'Table 5 - Full data'!$A$2:$J$181,9,FALSE)</f>
        <v>0.26</v>
      </c>
      <c r="J38" s="111">
        <f>VLOOKUP($A38,'Table 5 - Full data'!$A$2:$J$181,10,FALSE)</f>
        <v>0.04</v>
      </c>
      <c r="K38" s="27"/>
    </row>
    <row r="39" spans="1:17" ht="15.75" x14ac:dyDescent="0.25">
      <c r="A39" s="41" t="str">
        <f xml:space="preserve"> "Stirling " &amp;$B$7</f>
        <v>Stirling All time</v>
      </c>
      <c r="B39" s="135">
        <f>VLOOKUP($A39,'Table 5 - Full data'!$A$2:$J$1181,2,FALSE)</f>
        <v>3540</v>
      </c>
      <c r="C39" s="111">
        <f>VLOOKUP($A39,'Table 5 - Full data'!$A$2:$J$181,3,FALSE)</f>
        <v>0.01</v>
      </c>
      <c r="D39" s="134">
        <f>VLOOKUP($A39,'Table 5 - Full data'!$A$2:$J$181,4,FALSE)</f>
        <v>3465</v>
      </c>
      <c r="E39" s="134">
        <f>VLOOKUP($A39,'Table 5 - Full data'!$A$2:$J$181,5,FALSE)</f>
        <v>2465</v>
      </c>
      <c r="F39" s="134">
        <f>VLOOKUP($A39,'Table 5 - Full data'!$A$2:$J$181,6,FALSE)</f>
        <v>880</v>
      </c>
      <c r="G39" s="134">
        <f>VLOOKUP($A39,'Table 5 - Full data'!$A$2:$J$181,7,FALSE)</f>
        <v>120</v>
      </c>
      <c r="H39" s="111">
        <f>VLOOKUP($A39,'Table 5 - Full data'!$A$2:$J$181,8,FALSE)</f>
        <v>0.71</v>
      </c>
      <c r="I39" s="111">
        <f>VLOOKUP($A39,'Table 5 - Full data'!$A$2:$J$181,9,FALSE)</f>
        <v>0.25</v>
      </c>
      <c r="J39" s="111">
        <f>VLOOKUP($A39,'Table 5 - Full data'!$A$2:$J$181,10,FALSE)</f>
        <v>0.03</v>
      </c>
      <c r="K39" s="27"/>
    </row>
    <row r="40" spans="1:17" ht="15.75" x14ac:dyDescent="0.25">
      <c r="A40" s="41" t="str">
        <f xml:space="preserve"> "West Dunbartonshire " &amp;$B$7</f>
        <v>West Dunbartonshire All time</v>
      </c>
      <c r="B40" s="135">
        <f>VLOOKUP($A40,'Table 5 - Full data'!$A$2:$J$1181,2,FALSE)</f>
        <v>7655</v>
      </c>
      <c r="C40" s="111">
        <f>VLOOKUP($A40,'Table 5 - Full data'!$A$2:$J$181,3,FALSE)</f>
        <v>0.02</v>
      </c>
      <c r="D40" s="134">
        <f>VLOOKUP($A40,'Table 5 - Full data'!$A$2:$J$181,4,FALSE)</f>
        <v>7470</v>
      </c>
      <c r="E40" s="134">
        <f>VLOOKUP($A40,'Table 5 - Full data'!$A$2:$J$181,5,FALSE)</f>
        <v>5180</v>
      </c>
      <c r="F40" s="134">
        <f>VLOOKUP($A40,'Table 5 - Full data'!$A$2:$J$181,6,FALSE)</f>
        <v>2005</v>
      </c>
      <c r="G40" s="134">
        <f>VLOOKUP($A40,'Table 5 - Full data'!$A$2:$J$181,7,FALSE)</f>
        <v>290</v>
      </c>
      <c r="H40" s="111">
        <f>VLOOKUP($A40,'Table 5 - Full data'!$A$2:$J$181,8,FALSE)</f>
        <v>0.69</v>
      </c>
      <c r="I40" s="111">
        <f>VLOOKUP($A40,'Table 5 - Full data'!$A$2:$J$181,9,FALSE)</f>
        <v>0.27</v>
      </c>
      <c r="J40" s="111">
        <f>VLOOKUP($A40,'Table 5 - Full data'!$A$2:$J$181,10,FALSE)</f>
        <v>0.04</v>
      </c>
      <c r="K40" s="27"/>
    </row>
    <row r="41" spans="1:17" ht="15.75" x14ac:dyDescent="0.25">
      <c r="A41" s="41" t="str">
        <f xml:space="preserve"> "West Lothian " &amp;$B$7</f>
        <v>West Lothian All time</v>
      </c>
      <c r="B41" s="135">
        <f>VLOOKUP($A41,'Table 5 - Full data'!$A$2:$J$1181,2,FALSE)</f>
        <v>12180</v>
      </c>
      <c r="C41" s="111">
        <f>VLOOKUP($A41,'Table 5 - Full data'!$A$2:$J$181,3,FALSE)</f>
        <v>0.04</v>
      </c>
      <c r="D41" s="134">
        <f>VLOOKUP($A41,'Table 5 - Full data'!$A$2:$J$181,4,FALSE)</f>
        <v>11865</v>
      </c>
      <c r="E41" s="134">
        <f>VLOOKUP($A41,'Table 5 - Full data'!$A$2:$J$181,5,FALSE)</f>
        <v>8165</v>
      </c>
      <c r="F41" s="134">
        <f>VLOOKUP($A41,'Table 5 - Full data'!$A$2:$J$181,6,FALSE)</f>
        <v>3165</v>
      </c>
      <c r="G41" s="134">
        <f>VLOOKUP($A41,'Table 5 - Full data'!$A$2:$J$181,7,FALSE)</f>
        <v>535</v>
      </c>
      <c r="H41" s="111">
        <f>VLOOKUP($A41,'Table 5 - Full data'!$A$2:$J$181,8,FALSE)</f>
        <v>0.69</v>
      </c>
      <c r="I41" s="111">
        <f>VLOOKUP($A41,'Table 5 - Full data'!$A$2:$J$181,9,FALSE)</f>
        <v>0.27</v>
      </c>
      <c r="J41" s="111">
        <f>VLOOKUP($A41,'Table 5 - Full data'!$A$2:$J$181,10,FALSE)</f>
        <v>0.05</v>
      </c>
      <c r="K41" s="27"/>
    </row>
    <row r="42" spans="1:17" ht="15.75" x14ac:dyDescent="0.25">
      <c r="A42" s="153" t="str">
        <f xml:space="preserve"> "Unknown - Scottish address " &amp;$B$7</f>
        <v>Unknown - Scottish address All time</v>
      </c>
      <c r="B42" s="135">
        <f>VLOOKUP($A42,'Table 5 - Full data'!$A$2:$J$1181,2,FALSE)</f>
        <v>650</v>
      </c>
      <c r="C42" s="111">
        <f>VLOOKUP($A42,'Table 5 - Full data'!$A$2:$J$181,3,FALSE)</f>
        <v>0</v>
      </c>
      <c r="D42" s="134">
        <f>VLOOKUP($A42,'Table 5 - Full data'!$A$2:$J$181,4,FALSE)</f>
        <v>625</v>
      </c>
      <c r="E42" s="134">
        <f>VLOOKUP($A42,'Table 5 - Full data'!$A$2:$J$181,5,FALSE)</f>
        <v>445</v>
      </c>
      <c r="F42" s="134">
        <f>VLOOKUP($A42,'Table 5 - Full data'!$A$2:$J$181,6,FALSE)</f>
        <v>145</v>
      </c>
      <c r="G42" s="134">
        <f>VLOOKUP($A42,'Table 5 - Full data'!$A$2:$J$181,7,FALSE)</f>
        <v>35</v>
      </c>
      <c r="H42" s="111">
        <f>VLOOKUP($A42,'Table 5 - Full data'!$A$2:$J$181,8,FALSE)</f>
        <v>0.71</v>
      </c>
      <c r="I42" s="111">
        <f>VLOOKUP($A42,'Table 5 - Full data'!$A$2:$J$181,9,FALSE)</f>
        <v>0.23</v>
      </c>
      <c r="J42" s="111">
        <f>VLOOKUP($A42,'Table 5 - Full data'!$A$2:$J$181,10,FALSE)</f>
        <v>0.06</v>
      </c>
      <c r="K42" s="27"/>
    </row>
    <row r="43" spans="1:17" ht="15.75" x14ac:dyDescent="0.25">
      <c r="A43" s="153" t="str">
        <f xml:space="preserve"> "Non-Scottish postcode " &amp;$B$7</f>
        <v>Non-Scottish postcode All time</v>
      </c>
      <c r="B43" s="135">
        <f>VLOOKUP($A43,'Table 5 - Full data'!$A$2:$J$1181,2,FALSE)</f>
        <v>10530</v>
      </c>
      <c r="C43" s="111">
        <f>VLOOKUP($A43,'Table 5 - Full data'!$A$2:$J$181,3,FALSE)</f>
        <v>0.03</v>
      </c>
      <c r="D43" s="134">
        <f>VLOOKUP($A43,'Table 5 - Full data'!$A$2:$J$181,4,FALSE)</f>
        <v>10520</v>
      </c>
      <c r="E43" s="134">
        <f>VLOOKUP($A43,'Table 5 - Full data'!$A$2:$J$181,5,FALSE)</f>
        <v>470</v>
      </c>
      <c r="F43" s="134">
        <f>VLOOKUP($A43,'Table 5 - Full data'!$A$2:$J$181,6,FALSE)</f>
        <v>9900</v>
      </c>
      <c r="G43" s="134">
        <f>VLOOKUP($A43,'Table 5 - Full data'!$A$2:$J$181,7,FALSE)</f>
        <v>150</v>
      </c>
      <c r="H43" s="111">
        <f>VLOOKUP($A43,'Table 5 - Full data'!$A$2:$J$181,8,FALSE)</f>
        <v>0.04</v>
      </c>
      <c r="I43" s="111">
        <f>VLOOKUP($A43,'Table 5 - Full data'!$A$2:$J$181,9,FALSE)</f>
        <v>0.94</v>
      </c>
      <c r="J43" s="111">
        <f>VLOOKUP($A43,'Table 5 - Full data'!$A$2:$J$181,10,FALSE)</f>
        <v>0.01</v>
      </c>
      <c r="K43" s="27"/>
    </row>
    <row r="44" spans="1:17" ht="15.75" x14ac:dyDescent="0.25">
      <c r="A44" s="153" t="str">
        <f xml:space="preserve"> "No address " &amp;$B$7</f>
        <v>No address All time</v>
      </c>
      <c r="B44" s="135">
        <f>VLOOKUP($A44,'Table 5 - Full data'!$A$2:$J$1181,2,FALSE)</f>
        <v>555</v>
      </c>
      <c r="C44" s="111">
        <f>VLOOKUP($A44,'Table 5 - Full data'!$A$2:$J$181,3,FALSE)</f>
        <v>0</v>
      </c>
      <c r="D44" s="134">
        <f>VLOOKUP($A44,'Table 5 - Full data'!$A$2:$J$181,4,FALSE)</f>
        <v>310</v>
      </c>
      <c r="E44" s="134">
        <f>VLOOKUP($A44,'Table 5 - Full data'!$A$2:$J$181,5,FALSE)</f>
        <v>35</v>
      </c>
      <c r="F44" s="134">
        <f>VLOOKUP($A44,'Table 5 - Full data'!$A$2:$J$181,6,FALSE)</f>
        <v>15</v>
      </c>
      <c r="G44" s="134">
        <f>VLOOKUP($A44,'Table 5 - Full data'!$A$2:$J$181,7,FALSE)</f>
        <v>260</v>
      </c>
      <c r="H44" s="111">
        <f>VLOOKUP($A44,'Table 5 - Full data'!$A$2:$J$181,8,FALSE)</f>
        <v>0.12</v>
      </c>
      <c r="I44" s="111">
        <f>VLOOKUP($A44,'Table 5 - Full data'!$A$2:$J$181,9,FALSE)</f>
        <v>0.05</v>
      </c>
      <c r="J44" s="111">
        <f>VLOOKUP($A44,'Table 5 - Full data'!$A$2:$J$181,10,FALSE)</f>
        <v>0.83</v>
      </c>
      <c r="K44" s="27"/>
    </row>
    <row r="45" spans="1:17" ht="15.75" x14ac:dyDescent="0.25">
      <c r="A45" s="64" t="s">
        <v>8</v>
      </c>
      <c r="B45" s="65"/>
      <c r="C45" s="64"/>
      <c r="D45" s="64"/>
      <c r="E45" s="64"/>
      <c r="F45" s="64"/>
      <c r="G45" s="64"/>
      <c r="H45" s="66"/>
      <c r="I45" s="64"/>
      <c r="J45" s="64"/>
      <c r="K45" s="27"/>
    </row>
    <row r="46" spans="1:17" ht="15.75" x14ac:dyDescent="0.25">
      <c r="A46" s="64" t="s">
        <v>64</v>
      </c>
      <c r="B46" s="64"/>
      <c r="C46" s="64"/>
      <c r="D46" s="64"/>
      <c r="E46" s="64"/>
      <c r="F46" s="64"/>
      <c r="G46" s="64"/>
      <c r="H46" s="64"/>
      <c r="I46" s="64"/>
      <c r="J46" s="64"/>
      <c r="K46" s="27"/>
    </row>
    <row r="47" spans="1:17" ht="15.75" x14ac:dyDescent="0.25">
      <c r="A47" s="45" t="s">
        <v>586</v>
      </c>
      <c r="B47" s="45"/>
      <c r="C47" s="45"/>
      <c r="D47" s="45"/>
      <c r="E47" s="45"/>
      <c r="F47" s="45"/>
      <c r="G47" s="45"/>
      <c r="H47" s="45"/>
      <c r="I47" s="45"/>
      <c r="J47" s="45"/>
      <c r="K47" s="45"/>
      <c r="L47" s="45"/>
      <c r="M47" s="11"/>
    </row>
    <row r="48" spans="1:17" ht="15.75" x14ac:dyDescent="0.25">
      <c r="A48" s="45" t="s">
        <v>587</v>
      </c>
      <c r="B48" s="45"/>
      <c r="C48" s="45"/>
      <c r="D48" s="45"/>
      <c r="E48" s="45"/>
      <c r="F48" s="45"/>
      <c r="G48" s="45"/>
      <c r="H48" s="45"/>
      <c r="I48" s="45"/>
      <c r="J48" s="45"/>
      <c r="K48" s="45"/>
      <c r="L48" s="45"/>
      <c r="M48" s="11"/>
    </row>
    <row r="49" spans="1:13" ht="15.75" x14ac:dyDescent="0.25">
      <c r="A49" s="46" t="s">
        <v>600</v>
      </c>
      <c r="B49" s="45"/>
      <c r="C49" s="45"/>
      <c r="D49" s="45"/>
      <c r="E49" s="45"/>
      <c r="F49" s="45"/>
      <c r="G49" s="45"/>
      <c r="H49" s="45"/>
      <c r="I49" s="45"/>
      <c r="J49" s="45"/>
      <c r="K49" s="45"/>
      <c r="L49" s="45"/>
      <c r="M49" s="11"/>
    </row>
    <row r="50" spans="1:13" ht="15.75" x14ac:dyDescent="0.25">
      <c r="A50" s="200" t="s">
        <v>753</v>
      </c>
      <c r="B50" s="45"/>
      <c r="C50" s="45"/>
      <c r="D50" s="45"/>
      <c r="E50" s="45"/>
      <c r="F50" s="45"/>
      <c r="G50" s="45"/>
      <c r="H50" s="45"/>
      <c r="I50" s="45"/>
      <c r="J50" s="45"/>
      <c r="K50" s="45"/>
      <c r="L50" s="45"/>
      <c r="M50" s="11"/>
    </row>
    <row r="51" spans="1:13" s="60" customFormat="1" ht="129.75" customHeight="1" x14ac:dyDescent="0.25">
      <c r="A51" s="129" t="s">
        <v>609</v>
      </c>
      <c r="B51" s="45"/>
      <c r="C51" s="45"/>
      <c r="D51" s="45"/>
      <c r="E51" s="45"/>
      <c r="F51" s="45"/>
      <c r="G51" s="45"/>
      <c r="H51" s="45"/>
      <c r="I51" s="45"/>
      <c r="J51" s="45"/>
      <c r="K51" s="46"/>
    </row>
    <row r="52" spans="1:13" ht="129.75" customHeight="1" x14ac:dyDescent="0.25">
      <c r="A52" s="44" t="s">
        <v>616</v>
      </c>
      <c r="B52" s="44"/>
      <c r="C52" s="44"/>
      <c r="D52" s="44"/>
      <c r="E52" s="44"/>
      <c r="F52" s="44"/>
      <c r="G52" s="44"/>
      <c r="H52" s="44"/>
      <c r="I52" s="44"/>
      <c r="J52" s="44"/>
      <c r="K52" s="27"/>
    </row>
    <row r="53" spans="1:13" ht="15.75" x14ac:dyDescent="0.25">
      <c r="A53" s="204" t="s">
        <v>611</v>
      </c>
      <c r="B53" s="42"/>
      <c r="C53" s="42"/>
      <c r="D53" s="42"/>
      <c r="E53" s="42"/>
      <c r="F53" s="42"/>
      <c r="G53" s="42"/>
      <c r="H53" s="42"/>
      <c r="I53" s="42"/>
      <c r="J53" s="42"/>
      <c r="K53" s="27"/>
    </row>
    <row r="54" spans="1:13" ht="15.75" x14ac:dyDescent="0.25">
      <c r="A54" s="204" t="s">
        <v>612</v>
      </c>
      <c r="B54" s="42"/>
      <c r="C54" s="42"/>
      <c r="D54" s="42"/>
      <c r="E54" s="42"/>
      <c r="F54" s="42"/>
      <c r="G54" s="42"/>
      <c r="H54" s="42"/>
      <c r="I54" s="42"/>
      <c r="J54" s="42"/>
      <c r="K54" s="27"/>
    </row>
    <row r="55" spans="1:13" ht="15.75" x14ac:dyDescent="0.25">
      <c r="A55" s="37" t="s">
        <v>613</v>
      </c>
      <c r="B55" s="42"/>
      <c r="C55" s="42"/>
      <c r="D55" s="42"/>
      <c r="E55" s="42"/>
      <c r="F55" s="42"/>
      <c r="G55" s="42"/>
      <c r="H55" s="42"/>
      <c r="I55" s="42"/>
      <c r="J55" s="42"/>
      <c r="K55" s="27"/>
    </row>
    <row r="56" spans="1:13" ht="15.75" x14ac:dyDescent="0.25">
      <c r="A56" s="37" t="s">
        <v>614</v>
      </c>
      <c r="B56" s="27"/>
      <c r="C56" s="27"/>
      <c r="D56" s="27"/>
      <c r="E56" s="27"/>
      <c r="F56" s="27"/>
      <c r="G56" s="27"/>
      <c r="H56" s="27"/>
      <c r="I56" s="27"/>
      <c r="J56" s="27"/>
      <c r="K56" s="27"/>
    </row>
    <row r="57" spans="1:13" ht="15.75" x14ac:dyDescent="0.25">
      <c r="A57" s="37" t="s">
        <v>615</v>
      </c>
      <c r="B57" s="27"/>
      <c r="C57" s="27"/>
      <c r="D57" s="27"/>
      <c r="E57" s="27"/>
      <c r="F57" s="27"/>
      <c r="G57" s="27"/>
      <c r="H57" s="27"/>
      <c r="I57" s="27"/>
      <c r="J57" s="27"/>
      <c r="K57" s="27"/>
    </row>
    <row r="58" spans="1:13" ht="15.75" x14ac:dyDescent="0.25">
      <c r="A58" s="204" t="s">
        <v>7</v>
      </c>
      <c r="B58" s="27"/>
      <c r="C58" s="27"/>
      <c r="D58" s="27"/>
      <c r="E58" s="27"/>
      <c r="F58" s="27"/>
      <c r="G58" s="27"/>
      <c r="H58" s="27"/>
      <c r="I58" s="27"/>
      <c r="J58" s="27"/>
      <c r="K58" s="27"/>
    </row>
    <row r="59" spans="1:13" ht="15.75" x14ac:dyDescent="0.25">
      <c r="A59" s="27"/>
      <c r="B59" s="27"/>
      <c r="C59" s="27"/>
      <c r="D59" s="27"/>
      <c r="E59" s="27"/>
      <c r="F59" s="27"/>
      <c r="G59" s="27"/>
      <c r="H59" s="27"/>
      <c r="I59" s="27"/>
      <c r="J59" s="27"/>
    </row>
    <row r="60" spans="1:13" ht="15.75" x14ac:dyDescent="0.25">
      <c r="A60" s="27"/>
      <c r="B60" s="27"/>
      <c r="C60" s="27"/>
      <c r="D60" s="27"/>
      <c r="E60" s="27"/>
      <c r="F60" s="27"/>
      <c r="G60" s="27"/>
      <c r="H60" s="27"/>
      <c r="I60" s="27"/>
      <c r="J60" s="27"/>
    </row>
    <row r="61" spans="1:13" ht="15.75" x14ac:dyDescent="0.25">
      <c r="A61" s="170"/>
      <c r="B61" s="27"/>
      <c r="C61" s="27"/>
      <c r="D61" s="27"/>
      <c r="E61" s="27"/>
      <c r="F61" s="27"/>
      <c r="G61" s="27"/>
      <c r="H61" s="27"/>
      <c r="I61" s="27"/>
      <c r="J61" s="27"/>
    </row>
    <row r="62" spans="1:13" ht="15.75" x14ac:dyDescent="0.25">
      <c r="A62" s="37"/>
      <c r="B62" s="27"/>
      <c r="C62" s="27"/>
      <c r="D62" s="27"/>
      <c r="E62" s="27"/>
      <c r="F62" s="27"/>
      <c r="G62" s="27"/>
      <c r="H62" s="27"/>
      <c r="I62" s="27"/>
      <c r="J62" s="27"/>
    </row>
    <row r="63" spans="1:13" ht="15.75" x14ac:dyDescent="0.25">
      <c r="A63" s="37"/>
      <c r="B63" s="27"/>
      <c r="C63" s="27"/>
      <c r="D63" s="27"/>
      <c r="E63" s="27"/>
      <c r="F63" s="27"/>
      <c r="G63" s="27"/>
      <c r="H63" s="27"/>
      <c r="I63" s="27"/>
      <c r="J63" s="27"/>
    </row>
    <row r="64" spans="1:13" ht="15.75" x14ac:dyDescent="0.25">
      <c r="A64" s="37"/>
    </row>
    <row r="65" spans="1:1" ht="15.75" x14ac:dyDescent="0.25">
      <c r="A65" s="170"/>
    </row>
  </sheetData>
  <sheetProtection sheet="1" objects="1" scenarios="1"/>
  <protectedRanges>
    <protectedRange sqref="B7" name="Range1"/>
  </protectedRanges>
  <mergeCells count="2">
    <mergeCell ref="Y7:Z7"/>
    <mergeCell ref="AA7:AG7"/>
  </mergeCells>
  <conditionalFormatting sqref="AE10:AG21">
    <cfRule type="dataBar" priority="4">
      <dataBar>
        <cfvo type="num" val="0"/>
        <cfvo type="num" val="1"/>
        <color theme="4" tint="-0.249977111117893"/>
      </dataBar>
      <extLst>
        <ext xmlns:x14="http://schemas.microsoft.com/office/spreadsheetml/2009/9/main" uri="{B025F937-C7B1-47D3-B67F-A62EFF666E3E}">
          <x14:id>{12904AE8-2FA9-4305-A30F-A8A2B3CBDC6C}</x14:id>
        </ext>
      </extLst>
    </cfRule>
  </conditionalFormatting>
  <conditionalFormatting sqref="Z10:Z21">
    <cfRule type="dataBar" priority="3">
      <dataBar>
        <cfvo type="num" val="0"/>
        <cfvo type="num" val="1"/>
        <color theme="4" tint="-0.249977111117893"/>
      </dataBar>
      <extLst>
        <ext xmlns:x14="http://schemas.microsoft.com/office/spreadsheetml/2009/9/main" uri="{B025F937-C7B1-47D3-B67F-A62EFF666E3E}">
          <x14:id>{FFE4280B-C258-4B70-A809-71479599485E}</x14:id>
        </ext>
      </extLst>
    </cfRule>
  </conditionalFormatting>
  <conditionalFormatting sqref="H9:J44 C9:C44">
    <cfRule type="dataBar" priority="2">
      <dataBar>
        <cfvo type="num" val="0"/>
        <cfvo type="num" val="1"/>
        <color rgb="FFB4A9D4"/>
      </dataBar>
      <extLst>
        <ext xmlns:x14="http://schemas.microsoft.com/office/spreadsheetml/2009/9/main" uri="{B025F937-C7B1-47D3-B67F-A62EFF666E3E}">
          <x14:id>{4FA5049F-E299-43AB-87D7-DC8FD45AF860}</x14:id>
        </ext>
      </extLst>
    </cfRule>
  </conditionalFormatting>
  <conditionalFormatting sqref="M47:M50">
    <cfRule type="dataBar" priority="1">
      <dataBar>
        <cfvo type="min"/>
        <cfvo type="max"/>
        <color rgb="FF638EC6"/>
      </dataBar>
      <extLst>
        <ext xmlns:x14="http://schemas.microsoft.com/office/spreadsheetml/2009/9/main" uri="{B025F937-C7B1-47D3-B67F-A62EFF666E3E}">
          <x14:id>{2F46C3AA-08AE-4952-82C8-AD0935F5EB9F}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2904AE8-2FA9-4305-A30F-A8A2B3CBDC6C}">
            <x14:dataBar minLength="0" maxLength="100" border="1">
              <x14:cfvo type="num">
                <xm:f>0</xm:f>
              </x14:cfvo>
              <x14:cfvo type="num">
                <xm:f>1</xm:f>
              </x14:cfvo>
              <x14:borderColor theme="8" tint="0.39997558519241921"/>
              <x14:negativeFillColor rgb="FFFF0000"/>
              <x14:axisColor rgb="FF000000"/>
            </x14:dataBar>
          </x14:cfRule>
          <xm:sqref>AE10:AG21</xm:sqref>
        </x14:conditionalFormatting>
        <x14:conditionalFormatting xmlns:xm="http://schemas.microsoft.com/office/excel/2006/main">
          <x14:cfRule type="dataBar" id="{FFE4280B-C258-4B70-A809-71479599485E}">
            <x14:dataBar minLength="0" maxLength="100" border="1">
              <x14:cfvo type="num">
                <xm:f>0</xm:f>
              </x14:cfvo>
              <x14:cfvo type="num">
                <xm:f>1</xm:f>
              </x14:cfvo>
              <x14:borderColor theme="8" tint="0.39997558519241921"/>
              <x14:negativeFillColor rgb="FFFF0000"/>
              <x14:axisColor rgb="FF000000"/>
            </x14:dataBar>
          </x14:cfRule>
          <xm:sqref>Z10:Z21</xm:sqref>
        </x14:conditionalFormatting>
        <x14:conditionalFormatting xmlns:xm="http://schemas.microsoft.com/office/excel/2006/main">
          <x14:cfRule type="dataBar" id="{4FA5049F-E299-43AB-87D7-DC8FD45AF860}">
            <x14:dataBar minLength="0" maxLength="100" gradient="0">
              <x14:cfvo type="num">
                <xm:f>0</xm:f>
              </x14:cfvo>
              <x14:cfvo type="num">
                <xm:f>1</xm:f>
              </x14:cfvo>
              <x14:negativeFillColor rgb="FFFF0000"/>
              <x14:axisColor rgb="FF000000"/>
            </x14:dataBar>
          </x14:cfRule>
          <xm:sqref>H9:J44 C9:C44</xm:sqref>
        </x14:conditionalFormatting>
        <x14:conditionalFormatting xmlns:xm="http://schemas.microsoft.com/office/excel/2006/main">
          <x14:cfRule type="dataBar" id="{2F46C3AA-08AE-4952-82C8-AD0935F5EB9F}">
            <x14:dataBar minLength="0" maxLength="100" border="1" negativeBarBorderColorSameAsPositive="0">
              <x14:cfvo type="autoMin"/>
              <x14:cfvo type="autoMax"/>
              <x14:borderColor rgb="FF638EC6"/>
              <x14:negativeFillColor rgb="FFFF0000"/>
              <x14:negativeBorderColor rgb="FFFF0000"/>
              <x14:axisColor rgb="FF000000"/>
            </x14:dataBar>
          </x14:cfRule>
          <xm:sqref>M47:M50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5 - Full data'!$L$2:$L$6</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68"/>
  <sheetViews>
    <sheetView zoomScale="75" zoomScaleNormal="75" workbookViewId="0"/>
  </sheetViews>
  <sheetFormatPr defaultRowHeight="15" x14ac:dyDescent="0.25"/>
  <cols>
    <col min="1" max="1" width="56.140625" customWidth="1"/>
    <col min="2" max="8" width="19.5703125" customWidth="1"/>
    <col min="9" max="13" width="23" customWidth="1"/>
  </cols>
  <sheetData>
    <row r="1" spans="1:27" ht="21" x14ac:dyDescent="0.35">
      <c r="A1" s="21" t="s">
        <v>45</v>
      </c>
      <c r="B1" s="21"/>
      <c r="C1" s="21"/>
      <c r="D1" s="21"/>
      <c r="E1" s="21"/>
      <c r="F1" s="21"/>
      <c r="G1" s="21"/>
      <c r="H1" s="23"/>
      <c r="I1" s="23"/>
      <c r="J1" s="23"/>
    </row>
    <row r="2" spans="1:27" s="9" customFormat="1" ht="15" customHeight="1" x14ac:dyDescent="0.25">
      <c r="A2" s="37" t="s">
        <v>773</v>
      </c>
      <c r="B2" s="63"/>
      <c r="C2" s="63"/>
      <c r="D2" s="63"/>
      <c r="E2" s="63"/>
      <c r="F2" s="63"/>
      <c r="G2" s="63"/>
      <c r="H2" s="30"/>
      <c r="I2" s="30"/>
      <c r="J2" s="30"/>
      <c r="K2" s="70"/>
      <c r="L2" s="70"/>
      <c r="M2" s="70"/>
      <c r="N2" s="70"/>
      <c r="O2" s="70"/>
      <c r="P2" s="70"/>
      <c r="Q2" s="70"/>
      <c r="R2" s="70"/>
      <c r="S2" s="70"/>
      <c r="T2" s="70"/>
      <c r="U2" s="70"/>
      <c r="V2" s="70"/>
      <c r="W2" s="70"/>
      <c r="X2" s="70"/>
      <c r="Y2" s="70"/>
      <c r="Z2" s="70"/>
      <c r="AA2" s="70"/>
    </row>
    <row r="3" spans="1:27" s="9" customFormat="1" ht="18" customHeight="1" x14ac:dyDescent="0.25">
      <c r="A3" s="26" t="s">
        <v>648</v>
      </c>
      <c r="B3" s="63"/>
      <c r="C3" s="63"/>
      <c r="D3" s="63"/>
      <c r="E3" s="63"/>
      <c r="F3" s="63"/>
      <c r="G3" s="63"/>
      <c r="H3" s="30"/>
      <c r="I3" s="30"/>
      <c r="J3" s="30"/>
      <c r="K3" s="70"/>
      <c r="L3" s="70"/>
      <c r="M3" s="70"/>
      <c r="N3" s="70"/>
      <c r="O3" s="70"/>
      <c r="P3" s="70"/>
      <c r="Q3" s="70"/>
      <c r="R3" s="70"/>
      <c r="S3" s="70"/>
      <c r="T3" s="70"/>
      <c r="U3" s="70"/>
      <c r="V3" s="70"/>
      <c r="W3" s="70"/>
      <c r="X3" s="70"/>
      <c r="Y3" s="70"/>
      <c r="Z3" s="70"/>
      <c r="AA3" s="70"/>
    </row>
    <row r="4" spans="1:27" s="198" customFormat="1" ht="15.95" customHeight="1" x14ac:dyDescent="0.35">
      <c r="A4" s="222" t="s">
        <v>745</v>
      </c>
      <c r="B4" s="223"/>
      <c r="C4" s="223"/>
      <c r="D4" s="223"/>
      <c r="E4" s="223"/>
      <c r="F4" s="223"/>
      <c r="G4" s="223"/>
      <c r="H4" s="224"/>
      <c r="I4" s="224"/>
      <c r="J4" s="224"/>
      <c r="K4" s="224"/>
    </row>
    <row r="5" spans="1:27" s="198" customFormat="1" ht="15.95" customHeight="1" x14ac:dyDescent="0.35">
      <c r="A5" s="222" t="s">
        <v>746</v>
      </c>
      <c r="B5" s="223"/>
      <c r="C5" s="223"/>
      <c r="D5" s="223"/>
      <c r="E5" s="223"/>
      <c r="F5" s="223"/>
      <c r="G5" s="223"/>
      <c r="H5" s="224"/>
      <c r="I5" s="224"/>
      <c r="J5" s="224"/>
      <c r="K5" s="224"/>
    </row>
    <row r="6" spans="1:27" ht="15.95" customHeight="1" x14ac:dyDescent="0.25">
      <c r="A6" s="26" t="s">
        <v>751</v>
      </c>
      <c r="B6" s="63"/>
      <c r="C6" s="63"/>
      <c r="D6" s="63"/>
      <c r="E6" s="63"/>
      <c r="F6" s="63"/>
      <c r="G6" s="63"/>
      <c r="H6" s="30"/>
      <c r="I6" s="30"/>
      <c r="J6" s="30"/>
      <c r="K6" s="27"/>
      <c r="L6" s="27"/>
      <c r="M6" s="27"/>
      <c r="N6" s="27"/>
      <c r="O6" s="27"/>
      <c r="P6" s="27"/>
      <c r="Q6" s="27"/>
      <c r="R6" s="27"/>
      <c r="S6" s="27"/>
      <c r="T6" s="27"/>
      <c r="U6" s="27"/>
      <c r="V6" s="27"/>
      <c r="W6" s="27"/>
      <c r="X6" s="27"/>
      <c r="Y6" s="27"/>
      <c r="Z6" s="27"/>
      <c r="AA6" s="27"/>
    </row>
    <row r="7" spans="1:27" ht="36.75" customHeight="1" x14ac:dyDescent="0.25">
      <c r="A7" s="202" t="s">
        <v>702</v>
      </c>
      <c r="B7" s="203" t="s">
        <v>222</v>
      </c>
      <c r="C7" s="61"/>
      <c r="D7" s="27"/>
      <c r="E7" s="27"/>
      <c r="F7" s="27"/>
      <c r="G7" s="27"/>
      <c r="H7" s="27"/>
      <c r="I7" s="27"/>
      <c r="J7" s="27"/>
      <c r="K7" s="27"/>
      <c r="L7" s="27"/>
      <c r="M7" s="27"/>
      <c r="N7" s="27"/>
      <c r="O7" s="27"/>
      <c r="P7" s="27"/>
      <c r="Q7" s="27"/>
      <c r="R7" s="27"/>
      <c r="S7" s="27"/>
      <c r="T7" s="27"/>
      <c r="U7" s="27"/>
      <c r="V7" s="27"/>
      <c r="W7" s="27"/>
      <c r="X7" s="27"/>
      <c r="Y7" s="27"/>
      <c r="Z7" s="27"/>
      <c r="AA7" s="27"/>
    </row>
    <row r="8" spans="1:27" ht="94.5" x14ac:dyDescent="0.25">
      <c r="A8" s="68" t="s">
        <v>610</v>
      </c>
      <c r="B8" s="32" t="s">
        <v>618</v>
      </c>
      <c r="C8" s="32" t="s">
        <v>314</v>
      </c>
      <c r="D8" s="32" t="s">
        <v>622</v>
      </c>
      <c r="E8" s="32" t="s">
        <v>623</v>
      </c>
      <c r="F8" s="32" t="s">
        <v>624</v>
      </c>
      <c r="G8" s="32" t="s">
        <v>632</v>
      </c>
      <c r="H8" s="32" t="s">
        <v>709</v>
      </c>
      <c r="I8" s="32" t="s">
        <v>625</v>
      </c>
      <c r="J8" s="69" t="s">
        <v>626</v>
      </c>
      <c r="K8" s="69" t="s">
        <v>627</v>
      </c>
      <c r="L8" s="69" t="s">
        <v>710</v>
      </c>
      <c r="M8" s="69" t="s">
        <v>628</v>
      </c>
      <c r="N8" s="68"/>
      <c r="O8" s="27"/>
      <c r="P8" s="27"/>
      <c r="Q8" s="27"/>
      <c r="R8" s="27"/>
      <c r="S8" s="27"/>
      <c r="T8" s="27"/>
      <c r="U8" s="27"/>
      <c r="V8" s="27"/>
      <c r="W8" s="27"/>
      <c r="X8" s="27"/>
      <c r="Y8" s="27"/>
      <c r="Z8" s="27"/>
      <c r="AA8" s="27"/>
    </row>
    <row r="9" spans="1:27" ht="15.75" x14ac:dyDescent="0.25">
      <c r="A9" s="154" t="str">
        <f xml:space="preserve"> "Total " &amp;$B$7</f>
        <v>Total All time</v>
      </c>
      <c r="B9" s="180">
        <f>VLOOKUP($A9, 'Table 6 - Full data'!$A$2:$M$181,2,FALSE)</f>
        <v>323915</v>
      </c>
      <c r="C9" s="116">
        <f>VLOOKUP($A9, 'Table 6 - Full data'!$A$2:$M$181,3,FALSE)</f>
        <v>1</v>
      </c>
      <c r="D9" s="163">
        <f>VLOOKUP($A9, 'Table 6 - Full data'!$A$2:$M$181,4,FALSE)</f>
        <v>109220</v>
      </c>
      <c r="E9" s="163">
        <f>VLOOKUP($A9, 'Table 6 - Full data'!$A$2:$M$181,5,FALSE)</f>
        <v>105040</v>
      </c>
      <c r="F9" s="163">
        <f>VLOOKUP($A9, 'Table 6 - Full data'!$A$2:$M$181,6,FALSE)</f>
        <v>80270</v>
      </c>
      <c r="G9" s="163">
        <f>VLOOKUP($A9, 'Table 6 - Full data'!$A$2:$M$181,7,FALSE)</f>
        <v>170840</v>
      </c>
      <c r="H9" s="130">
        <f>VLOOKUP($A9, 'Table 6 - Full data'!$A$2:$M$181,8,FALSE)</f>
        <v>35295</v>
      </c>
      <c r="I9" s="117">
        <f>VLOOKUP($A9, 'Table 6 - Full data'!$A$2:$M$181,9,FALSE)</f>
        <v>0.34</v>
      </c>
      <c r="J9" s="117">
        <f>VLOOKUP($A9, 'Table 6 - Full data'!$A$2:$M$181,10,FALSE)</f>
        <v>0.32</v>
      </c>
      <c r="K9" s="117">
        <f>VLOOKUP($A9, 'Table 6 - Full data'!$A$2:$M$181,11,FALSE)</f>
        <v>0.25</v>
      </c>
      <c r="L9" s="117">
        <f>VLOOKUP($A9, 'Table 6 - Full data'!$A$2:$M$181,12,FALSE)</f>
        <v>0.53</v>
      </c>
      <c r="M9" s="117">
        <f>VLOOKUP($A9, 'Table 6 - Full data'!$A$2:$M$181,13,FALSE)</f>
        <v>0.11</v>
      </c>
      <c r="N9" s="27"/>
      <c r="O9" s="27"/>
      <c r="P9" s="27"/>
      <c r="Q9" s="27"/>
      <c r="R9" s="27"/>
      <c r="S9" s="27"/>
      <c r="T9" s="27"/>
      <c r="U9" s="27"/>
      <c r="V9" s="27"/>
      <c r="W9" s="27"/>
      <c r="X9" s="27"/>
      <c r="Y9" s="27"/>
      <c r="Z9" s="27"/>
      <c r="AA9" s="27"/>
    </row>
    <row r="10" spans="1:27" ht="15.75" x14ac:dyDescent="0.25">
      <c r="A10" s="41" t="str">
        <f xml:space="preserve"> "Aberdeen City " &amp;$B$7</f>
        <v>Aberdeen City All time</v>
      </c>
      <c r="B10" s="135">
        <f>VLOOKUP($A10, 'Table 6 - Full data'!$A$2:$M$181,2,FALSE)</f>
        <v>9890</v>
      </c>
      <c r="C10" s="111">
        <f>VLOOKUP($A10, 'Table 6 - Full data'!$A$2:$M$181,3,FALSE)</f>
        <v>0.03</v>
      </c>
      <c r="D10" s="134">
        <f>VLOOKUP($A10, 'Table 6 - Full data'!$A$2:$M$181,4,FALSE)</f>
        <v>3435</v>
      </c>
      <c r="E10" s="134">
        <f>VLOOKUP($A10, 'Table 6 - Full data'!$A$2:$M$181,5,FALSE)</f>
        <v>3260</v>
      </c>
      <c r="F10" s="134">
        <f>VLOOKUP($A10, 'Table 6 - Full data'!$A$2:$M$181,6,FALSE)</f>
        <v>2310</v>
      </c>
      <c r="G10" s="134">
        <f>VLOOKUP($A10, 'Table 6 - Full data'!$A$2:$M$181,7,FALSE)</f>
        <v>5475</v>
      </c>
      <c r="H10" s="134">
        <f>VLOOKUP($A10, 'Table 6 - Full data'!$A$2:$M$181,8,FALSE)</f>
        <v>975</v>
      </c>
      <c r="I10" s="111">
        <f>VLOOKUP($A10, 'Table 6 - Full data'!$A$2:$M$181,9,FALSE)</f>
        <v>0.35</v>
      </c>
      <c r="J10" s="111">
        <f>VLOOKUP($A10, 'Table 6 - Full data'!$A$2:$M$181,10,FALSE)</f>
        <v>0.33</v>
      </c>
      <c r="K10" s="111">
        <f>VLOOKUP($A10, 'Table 6 - Full data'!$A$2:$M$181,11,FALSE)</f>
        <v>0.23</v>
      </c>
      <c r="L10" s="111">
        <f>VLOOKUP($A10, 'Table 6 - Full data'!$A$2:$M$181,12,FALSE)</f>
        <v>0.55000000000000004</v>
      </c>
      <c r="M10" s="111">
        <f>VLOOKUP($A10, 'Table 6 - Full data'!$A$2:$M$181,13,FALSE)</f>
        <v>0.1</v>
      </c>
      <c r="N10" s="27"/>
      <c r="O10" s="27"/>
      <c r="P10" s="27"/>
      <c r="Q10" s="27"/>
      <c r="R10" s="27"/>
      <c r="S10" s="27"/>
      <c r="T10" s="27"/>
      <c r="U10" s="27"/>
      <c r="V10" s="27"/>
      <c r="W10" s="27"/>
      <c r="X10" s="27"/>
      <c r="Y10" s="27"/>
      <c r="Z10" s="27"/>
      <c r="AA10" s="27"/>
    </row>
    <row r="11" spans="1:27" ht="15.75" x14ac:dyDescent="0.25">
      <c r="A11" s="41" t="str">
        <f xml:space="preserve"> "Aberdeenshire " &amp;$B$7</f>
        <v>Aberdeenshire All time</v>
      </c>
      <c r="B11" s="135">
        <f>VLOOKUP($A11, 'Table 6 - Full data'!$A$2:$M$181,2,FALSE)</f>
        <v>8265</v>
      </c>
      <c r="C11" s="111">
        <f>VLOOKUP($A11, 'Table 6 - Full data'!$A$2:$M$181,3,FALSE)</f>
        <v>0.03</v>
      </c>
      <c r="D11" s="134">
        <f>VLOOKUP($A11, 'Table 6 - Full data'!$A$2:$M$181,4,FALSE)</f>
        <v>2710</v>
      </c>
      <c r="E11" s="134">
        <f>VLOOKUP($A11, 'Table 6 - Full data'!$A$2:$M$181,5,FALSE)</f>
        <v>2700</v>
      </c>
      <c r="F11" s="134">
        <f>VLOOKUP($A11, 'Table 6 - Full data'!$A$2:$M$181,6,FALSE)</f>
        <v>2120</v>
      </c>
      <c r="G11" s="134">
        <f>VLOOKUP($A11, 'Table 6 - Full data'!$A$2:$M$181,7,FALSE)</f>
        <v>4435</v>
      </c>
      <c r="H11" s="134">
        <f>VLOOKUP($A11, 'Table 6 - Full data'!$A$2:$M$181,8,FALSE)</f>
        <v>870</v>
      </c>
      <c r="I11" s="111">
        <f>VLOOKUP($A11, 'Table 6 - Full data'!$A$2:$M$181,9,FALSE)</f>
        <v>0.33</v>
      </c>
      <c r="J11" s="111">
        <f>VLOOKUP($A11, 'Table 6 - Full data'!$A$2:$M$181,10,FALSE)</f>
        <v>0.33</v>
      </c>
      <c r="K11" s="111">
        <f>VLOOKUP($A11, 'Table 6 - Full data'!$A$2:$M$181,11,FALSE)</f>
        <v>0.26</v>
      </c>
      <c r="L11" s="111">
        <f>VLOOKUP($A11, 'Table 6 - Full data'!$A$2:$M$181,12,FALSE)</f>
        <v>0.54</v>
      </c>
      <c r="M11" s="111">
        <f>VLOOKUP($A11, 'Table 6 - Full data'!$A$2:$M$181,13,FALSE)</f>
        <v>0.11</v>
      </c>
      <c r="N11" s="27"/>
      <c r="O11" s="27"/>
      <c r="P11" s="27"/>
      <c r="Q11" s="27"/>
      <c r="R11" s="27"/>
      <c r="S11" s="27"/>
      <c r="T11" s="27"/>
      <c r="U11" s="27"/>
      <c r="V11" s="27"/>
      <c r="W11" s="27"/>
      <c r="X11" s="27"/>
      <c r="Y11" s="27"/>
      <c r="Z11" s="27"/>
      <c r="AA11" s="27"/>
    </row>
    <row r="12" spans="1:27" ht="15.75" x14ac:dyDescent="0.25">
      <c r="A12" s="41" t="str">
        <f xml:space="preserve"> "Angus " &amp;$B$7</f>
        <v>Angus All time</v>
      </c>
      <c r="B12" s="135">
        <f>VLOOKUP($A12, 'Table 6 - Full data'!$A$2:$M$181,2,FALSE)</f>
        <v>5960</v>
      </c>
      <c r="C12" s="111">
        <f>VLOOKUP($A12, 'Table 6 - Full data'!$A$2:$M$181,3,FALSE)</f>
        <v>0.02</v>
      </c>
      <c r="D12" s="134">
        <f>VLOOKUP($A12, 'Table 6 - Full data'!$A$2:$M$181,4,FALSE)</f>
        <v>2010</v>
      </c>
      <c r="E12" s="134">
        <f>VLOOKUP($A12, 'Table 6 - Full data'!$A$2:$M$181,5,FALSE)</f>
        <v>1990</v>
      </c>
      <c r="F12" s="134">
        <f>VLOOKUP($A12, 'Table 6 - Full data'!$A$2:$M$181,6,FALSE)</f>
        <v>1545</v>
      </c>
      <c r="G12" s="134">
        <f>VLOOKUP($A12, 'Table 6 - Full data'!$A$2:$M$181,7,FALSE)</f>
        <v>3215</v>
      </c>
      <c r="H12" s="134">
        <f>VLOOKUP($A12, 'Table 6 - Full data'!$A$2:$M$181,8,FALSE)</f>
        <v>600</v>
      </c>
      <c r="I12" s="111">
        <f>VLOOKUP($A12, 'Table 6 - Full data'!$A$2:$M$181,9,FALSE)</f>
        <v>0.34</v>
      </c>
      <c r="J12" s="111">
        <f>VLOOKUP($A12, 'Table 6 - Full data'!$A$2:$M$181,10,FALSE)</f>
        <v>0.33</v>
      </c>
      <c r="K12" s="111">
        <f>VLOOKUP($A12, 'Table 6 - Full data'!$A$2:$M$181,11,FALSE)</f>
        <v>0.26</v>
      </c>
      <c r="L12" s="111">
        <f>VLOOKUP($A12, 'Table 6 - Full data'!$A$2:$M$181,12,FALSE)</f>
        <v>0.54</v>
      </c>
      <c r="M12" s="111">
        <f>VLOOKUP($A12, 'Table 6 - Full data'!$A$2:$M$181,13,FALSE)</f>
        <v>0.1</v>
      </c>
      <c r="N12" s="27"/>
      <c r="O12" s="27"/>
      <c r="P12" s="27"/>
      <c r="Q12" s="27"/>
      <c r="R12" s="27"/>
      <c r="S12" s="27"/>
      <c r="T12" s="27"/>
      <c r="U12" s="27"/>
      <c r="V12" s="27"/>
      <c r="W12" s="27"/>
      <c r="X12" s="27"/>
      <c r="Y12" s="27"/>
      <c r="Z12" s="27"/>
      <c r="AA12" s="27"/>
    </row>
    <row r="13" spans="1:27" ht="15.75" x14ac:dyDescent="0.25">
      <c r="A13" s="41" t="str">
        <f xml:space="preserve"> "Argyll &amp; Bute " &amp;$B$7</f>
        <v>Argyll &amp; Bute All time</v>
      </c>
      <c r="B13" s="135">
        <f>VLOOKUP($A13, 'Table 6 - Full data'!$A$2:$M$181,2,FALSE)</f>
        <v>3565</v>
      </c>
      <c r="C13" s="111">
        <f>VLOOKUP($A13, 'Table 6 - Full data'!$A$2:$M$181,3,FALSE)</f>
        <v>0.01</v>
      </c>
      <c r="D13" s="134">
        <f>VLOOKUP($A13, 'Table 6 - Full data'!$A$2:$M$181,4,FALSE)</f>
        <v>1160</v>
      </c>
      <c r="E13" s="134">
        <f>VLOOKUP($A13, 'Table 6 - Full data'!$A$2:$M$181,5,FALSE)</f>
        <v>1230</v>
      </c>
      <c r="F13" s="134">
        <f>VLOOKUP($A13, 'Table 6 - Full data'!$A$2:$M$181,6,FALSE)</f>
        <v>945</v>
      </c>
      <c r="G13" s="134">
        <f>VLOOKUP($A13, 'Table 6 - Full data'!$A$2:$M$181,7,FALSE)</f>
        <v>1790</v>
      </c>
      <c r="H13" s="134">
        <f>VLOOKUP($A13, 'Table 6 - Full data'!$A$2:$M$181,8,FALSE)</f>
        <v>360</v>
      </c>
      <c r="I13" s="111">
        <f>VLOOKUP($A13, 'Table 6 - Full data'!$A$2:$M$181,9,FALSE)</f>
        <v>0.33</v>
      </c>
      <c r="J13" s="111">
        <f>VLOOKUP($A13, 'Table 6 - Full data'!$A$2:$M$181,10,FALSE)</f>
        <v>0.34</v>
      </c>
      <c r="K13" s="111">
        <f>VLOOKUP($A13, 'Table 6 - Full data'!$A$2:$M$181,11,FALSE)</f>
        <v>0.27</v>
      </c>
      <c r="L13" s="111">
        <f>VLOOKUP($A13, 'Table 6 - Full data'!$A$2:$M$181,12,FALSE)</f>
        <v>0.5</v>
      </c>
      <c r="M13" s="111">
        <f>VLOOKUP($A13, 'Table 6 - Full data'!$A$2:$M$181,13,FALSE)</f>
        <v>0.1</v>
      </c>
      <c r="N13" s="27"/>
      <c r="O13" s="27"/>
      <c r="P13" s="27"/>
      <c r="Q13" s="27"/>
      <c r="R13" s="27"/>
      <c r="S13" s="27"/>
      <c r="T13" s="27"/>
      <c r="U13" s="27"/>
      <c r="V13" s="27"/>
      <c r="W13" s="27"/>
      <c r="X13" s="27"/>
      <c r="Y13" s="27"/>
      <c r="Z13" s="27"/>
      <c r="AA13" s="27"/>
    </row>
    <row r="14" spans="1:27" ht="15.75" x14ac:dyDescent="0.25">
      <c r="A14" s="41" t="str">
        <f xml:space="preserve"> "Clackmannanshire " &amp;$B$7</f>
        <v>Clackmannanshire All time</v>
      </c>
      <c r="B14" s="135">
        <f>VLOOKUP($A14, 'Table 6 - Full data'!$A$2:$M$181,2,FALSE)</f>
        <v>3490</v>
      </c>
      <c r="C14" s="111">
        <f>VLOOKUP($A14, 'Table 6 - Full data'!$A$2:$M$181,3,FALSE)</f>
        <v>0.01</v>
      </c>
      <c r="D14" s="134">
        <f>VLOOKUP($A14, 'Table 6 - Full data'!$A$2:$M$181,4,FALSE)</f>
        <v>1115</v>
      </c>
      <c r="E14" s="134">
        <f>VLOOKUP($A14, 'Table 6 - Full data'!$A$2:$M$181,5,FALSE)</f>
        <v>1165</v>
      </c>
      <c r="F14" s="134">
        <f>VLOOKUP($A14, 'Table 6 - Full data'!$A$2:$M$181,6,FALSE)</f>
        <v>950</v>
      </c>
      <c r="G14" s="134">
        <f>VLOOKUP($A14, 'Table 6 - Full data'!$A$2:$M$181,7,FALSE)</f>
        <v>1860</v>
      </c>
      <c r="H14" s="134">
        <f>VLOOKUP($A14, 'Table 6 - Full data'!$A$2:$M$181,8,FALSE)</f>
        <v>355</v>
      </c>
      <c r="I14" s="111">
        <f>VLOOKUP($A14, 'Table 6 - Full data'!$A$2:$M$181,9,FALSE)</f>
        <v>0.32</v>
      </c>
      <c r="J14" s="111">
        <f>VLOOKUP($A14, 'Table 6 - Full data'!$A$2:$M$181,10,FALSE)</f>
        <v>0.33</v>
      </c>
      <c r="K14" s="111">
        <f>VLOOKUP($A14, 'Table 6 - Full data'!$A$2:$M$181,11,FALSE)</f>
        <v>0.27</v>
      </c>
      <c r="L14" s="111">
        <f>VLOOKUP($A14, 'Table 6 - Full data'!$A$2:$M$181,12,FALSE)</f>
        <v>0.53</v>
      </c>
      <c r="M14" s="111">
        <f>VLOOKUP($A14, 'Table 6 - Full data'!$A$2:$M$181,13,FALSE)</f>
        <v>0.1</v>
      </c>
      <c r="N14" s="27"/>
      <c r="O14" s="27"/>
      <c r="P14" s="27"/>
      <c r="Q14" s="27"/>
      <c r="R14" s="27"/>
      <c r="S14" s="27"/>
      <c r="T14" s="27"/>
      <c r="U14" s="27"/>
      <c r="V14" s="27"/>
      <c r="W14" s="27"/>
      <c r="X14" s="27"/>
      <c r="Y14" s="27"/>
      <c r="Z14" s="27"/>
      <c r="AA14" s="27"/>
    </row>
    <row r="15" spans="1:27" ht="15.75" x14ac:dyDescent="0.25">
      <c r="A15" s="41" t="str">
        <f xml:space="preserve"> "Dumfries &amp; Galloway " &amp;$B$7</f>
        <v>Dumfries &amp; Galloway All time</v>
      </c>
      <c r="B15" s="135">
        <f>VLOOKUP($A15, 'Table 6 - Full data'!$A$2:$M$181,2,FALSE)</f>
        <v>8240</v>
      </c>
      <c r="C15" s="111">
        <f>VLOOKUP($A15, 'Table 6 - Full data'!$A$2:$M$181,3,FALSE)</f>
        <v>0.03</v>
      </c>
      <c r="D15" s="134">
        <f>VLOOKUP($A15, 'Table 6 - Full data'!$A$2:$M$181,4,FALSE)</f>
        <v>2640</v>
      </c>
      <c r="E15" s="134">
        <f>VLOOKUP($A15, 'Table 6 - Full data'!$A$2:$M$181,5,FALSE)</f>
        <v>2940</v>
      </c>
      <c r="F15" s="134">
        <f>VLOOKUP($A15, 'Table 6 - Full data'!$A$2:$M$181,6,FALSE)</f>
        <v>2175</v>
      </c>
      <c r="G15" s="134">
        <f>VLOOKUP($A15, 'Table 6 - Full data'!$A$2:$M$181,7,FALSE)</f>
        <v>4405</v>
      </c>
      <c r="H15" s="134">
        <f>VLOOKUP($A15, 'Table 6 - Full data'!$A$2:$M$181,8,FALSE)</f>
        <v>815</v>
      </c>
      <c r="I15" s="111">
        <f>VLOOKUP($A15, 'Table 6 - Full data'!$A$2:$M$181,9,FALSE)</f>
        <v>0.32</v>
      </c>
      <c r="J15" s="111">
        <f>VLOOKUP($A15, 'Table 6 - Full data'!$A$2:$M$181,10,FALSE)</f>
        <v>0.36</v>
      </c>
      <c r="K15" s="111">
        <f>VLOOKUP($A15, 'Table 6 - Full data'!$A$2:$M$181,11,FALSE)</f>
        <v>0.26</v>
      </c>
      <c r="L15" s="111">
        <f>VLOOKUP($A15, 'Table 6 - Full data'!$A$2:$M$181,12,FALSE)</f>
        <v>0.53</v>
      </c>
      <c r="M15" s="111">
        <f>VLOOKUP($A15, 'Table 6 - Full data'!$A$2:$M$181,13,FALSE)</f>
        <v>0.1</v>
      </c>
      <c r="N15" s="27"/>
      <c r="O15" s="27"/>
      <c r="P15" s="27"/>
      <c r="Q15" s="27"/>
      <c r="R15" s="27"/>
      <c r="S15" s="27"/>
      <c r="T15" s="27"/>
      <c r="U15" s="27"/>
      <c r="V15" s="27"/>
      <c r="W15" s="27"/>
      <c r="X15" s="27"/>
      <c r="Y15" s="27"/>
      <c r="Z15" s="27"/>
      <c r="AA15" s="27"/>
    </row>
    <row r="16" spans="1:27" ht="15.75" x14ac:dyDescent="0.25">
      <c r="A16" s="41" t="str">
        <f xml:space="preserve"> "Dundee City " &amp;$B$7</f>
        <v>Dundee City All time</v>
      </c>
      <c r="B16" s="135">
        <f>VLOOKUP($A16, 'Table 6 - Full data'!$A$2:$M$181,2,FALSE)</f>
        <v>10925</v>
      </c>
      <c r="C16" s="111">
        <f>VLOOKUP($A16, 'Table 6 - Full data'!$A$2:$M$181,3,FALSE)</f>
        <v>0.03</v>
      </c>
      <c r="D16" s="134">
        <f>VLOOKUP($A16, 'Table 6 - Full data'!$A$2:$M$181,4,FALSE)</f>
        <v>3420</v>
      </c>
      <c r="E16" s="134">
        <f>VLOOKUP($A16, 'Table 6 - Full data'!$A$2:$M$181,5,FALSE)</f>
        <v>3595</v>
      </c>
      <c r="F16" s="134">
        <f>VLOOKUP($A16, 'Table 6 - Full data'!$A$2:$M$181,6,FALSE)</f>
        <v>2835</v>
      </c>
      <c r="G16" s="134">
        <f>VLOOKUP($A16, 'Table 6 - Full data'!$A$2:$M$181,7,FALSE)</f>
        <v>5800</v>
      </c>
      <c r="H16" s="134">
        <f>VLOOKUP($A16, 'Table 6 - Full data'!$A$2:$M$181,8,FALSE)</f>
        <v>1150</v>
      </c>
      <c r="I16" s="111">
        <f>VLOOKUP($A16, 'Table 6 - Full data'!$A$2:$M$181,9,FALSE)</f>
        <v>0.31</v>
      </c>
      <c r="J16" s="111">
        <f>VLOOKUP($A16, 'Table 6 - Full data'!$A$2:$M$181,10,FALSE)</f>
        <v>0.33</v>
      </c>
      <c r="K16" s="111">
        <f>VLOOKUP($A16, 'Table 6 - Full data'!$A$2:$M$181,11,FALSE)</f>
        <v>0.26</v>
      </c>
      <c r="L16" s="111">
        <f>VLOOKUP($A16, 'Table 6 - Full data'!$A$2:$M$181,12,FALSE)</f>
        <v>0.53</v>
      </c>
      <c r="M16" s="111">
        <f>VLOOKUP($A16, 'Table 6 - Full data'!$A$2:$M$181,13,FALSE)</f>
        <v>0.11</v>
      </c>
      <c r="N16" s="27"/>
      <c r="O16" s="27"/>
      <c r="P16" s="27"/>
      <c r="Q16" s="27"/>
      <c r="R16" s="27"/>
      <c r="S16" s="27"/>
      <c r="T16" s="27"/>
      <c r="U16" s="27"/>
      <c r="V16" s="27"/>
      <c r="W16" s="27"/>
      <c r="X16" s="27"/>
      <c r="Y16" s="27"/>
      <c r="Z16" s="27"/>
      <c r="AA16" s="27"/>
    </row>
    <row r="17" spans="1:27" ht="15.75" x14ac:dyDescent="0.25">
      <c r="A17" s="41" t="str">
        <f xml:space="preserve"> "East Ayrshire " &amp;$B$7</f>
        <v>East Ayrshire All time</v>
      </c>
      <c r="B17" s="135">
        <f>VLOOKUP($A17, 'Table 6 - Full data'!$A$2:$M$181,2,FALSE)</f>
        <v>9485</v>
      </c>
      <c r="C17" s="111">
        <f>VLOOKUP($A17, 'Table 6 - Full data'!$A$2:$M$181,3,FALSE)</f>
        <v>0.03</v>
      </c>
      <c r="D17" s="134">
        <f>VLOOKUP($A17, 'Table 6 - Full data'!$A$2:$M$181,4,FALSE)</f>
        <v>3125</v>
      </c>
      <c r="E17" s="134">
        <f>VLOOKUP($A17, 'Table 6 - Full data'!$A$2:$M$181,5,FALSE)</f>
        <v>3155</v>
      </c>
      <c r="F17" s="134">
        <f>VLOOKUP($A17, 'Table 6 - Full data'!$A$2:$M$181,6,FALSE)</f>
        <v>2295</v>
      </c>
      <c r="G17" s="134">
        <f>VLOOKUP($A17, 'Table 6 - Full data'!$A$2:$M$181,7,FALSE)</f>
        <v>5020</v>
      </c>
      <c r="H17" s="134">
        <f>VLOOKUP($A17, 'Table 6 - Full data'!$A$2:$M$181,8,FALSE)</f>
        <v>1035</v>
      </c>
      <c r="I17" s="111">
        <f>VLOOKUP($A17, 'Table 6 - Full data'!$A$2:$M$181,9,FALSE)</f>
        <v>0.33</v>
      </c>
      <c r="J17" s="111">
        <f>VLOOKUP($A17, 'Table 6 - Full data'!$A$2:$M$181,10,FALSE)</f>
        <v>0.33</v>
      </c>
      <c r="K17" s="111">
        <f>VLOOKUP($A17, 'Table 6 - Full data'!$A$2:$M$181,11,FALSE)</f>
        <v>0.24</v>
      </c>
      <c r="L17" s="111">
        <f>VLOOKUP($A17, 'Table 6 - Full data'!$A$2:$M$181,12,FALSE)</f>
        <v>0.53</v>
      </c>
      <c r="M17" s="111">
        <f>VLOOKUP($A17, 'Table 6 - Full data'!$A$2:$M$181,13,FALSE)</f>
        <v>0.11</v>
      </c>
      <c r="N17" s="27"/>
      <c r="O17" s="27"/>
      <c r="P17" s="27"/>
      <c r="Q17" s="27"/>
      <c r="R17" s="27"/>
      <c r="S17" s="27"/>
      <c r="T17" s="27"/>
      <c r="U17" s="27"/>
      <c r="V17" s="27"/>
      <c r="W17" s="27"/>
      <c r="X17" s="27"/>
      <c r="Y17" s="27"/>
      <c r="Z17" s="27"/>
      <c r="AA17" s="27"/>
    </row>
    <row r="18" spans="1:27" ht="15.75" x14ac:dyDescent="0.25">
      <c r="A18" s="41" t="str">
        <f xml:space="preserve"> "East Dunbartonshire " &amp;$B$7</f>
        <v>East Dunbartonshire All time</v>
      </c>
      <c r="B18" s="135">
        <f>VLOOKUP($A18, 'Table 6 - Full data'!$A$2:$M$181,2,FALSE)</f>
        <v>3175</v>
      </c>
      <c r="C18" s="111">
        <f>VLOOKUP($A18, 'Table 6 - Full data'!$A$2:$M$181,3,FALSE)</f>
        <v>0.01</v>
      </c>
      <c r="D18" s="134">
        <f>VLOOKUP($A18, 'Table 6 - Full data'!$A$2:$M$181,4,FALSE)</f>
        <v>1015</v>
      </c>
      <c r="E18" s="134">
        <f>VLOOKUP($A18, 'Table 6 - Full data'!$A$2:$M$181,5,FALSE)</f>
        <v>1020</v>
      </c>
      <c r="F18" s="134">
        <f>VLOOKUP($A18, 'Table 6 - Full data'!$A$2:$M$181,6,FALSE)</f>
        <v>850</v>
      </c>
      <c r="G18" s="134">
        <f>VLOOKUP($A18, 'Table 6 - Full data'!$A$2:$M$181,7,FALSE)</f>
        <v>1600</v>
      </c>
      <c r="H18" s="134">
        <f>VLOOKUP($A18, 'Table 6 - Full data'!$A$2:$M$181,8,FALSE)</f>
        <v>365</v>
      </c>
      <c r="I18" s="111">
        <f>VLOOKUP($A18, 'Table 6 - Full data'!$A$2:$M$181,9,FALSE)</f>
        <v>0.32</v>
      </c>
      <c r="J18" s="111">
        <f>VLOOKUP($A18, 'Table 6 - Full data'!$A$2:$M$181,10,FALSE)</f>
        <v>0.32</v>
      </c>
      <c r="K18" s="111">
        <f>VLOOKUP($A18, 'Table 6 - Full data'!$A$2:$M$181,11,FALSE)</f>
        <v>0.27</v>
      </c>
      <c r="L18" s="111">
        <f>VLOOKUP($A18, 'Table 6 - Full data'!$A$2:$M$181,12,FALSE)</f>
        <v>0.5</v>
      </c>
      <c r="M18" s="111">
        <f>VLOOKUP($A18, 'Table 6 - Full data'!$A$2:$M$181,13,FALSE)</f>
        <v>0.11</v>
      </c>
      <c r="N18" s="27"/>
      <c r="O18" s="27"/>
      <c r="P18" s="27"/>
      <c r="Q18" s="27"/>
      <c r="R18" s="27"/>
      <c r="S18" s="27"/>
      <c r="T18" s="27"/>
      <c r="U18" s="27"/>
      <c r="V18" s="27"/>
      <c r="W18" s="27"/>
      <c r="X18" s="27"/>
      <c r="Y18" s="27"/>
      <c r="Z18" s="27"/>
      <c r="AA18" s="27"/>
    </row>
    <row r="19" spans="1:27" ht="15.75" x14ac:dyDescent="0.25">
      <c r="A19" s="41" t="str">
        <f xml:space="preserve"> "East Lothian " &amp;$B$7</f>
        <v>East Lothian All time</v>
      </c>
      <c r="B19" s="135">
        <f>VLOOKUP($A19, 'Table 6 - Full data'!$A$2:$M$181,2,FALSE)</f>
        <v>5260</v>
      </c>
      <c r="C19" s="111">
        <f>VLOOKUP($A19, 'Table 6 - Full data'!$A$2:$M$181,3,FALSE)</f>
        <v>0.02</v>
      </c>
      <c r="D19" s="134">
        <f>VLOOKUP($A19, 'Table 6 - Full data'!$A$2:$M$181,4,FALSE)</f>
        <v>1680</v>
      </c>
      <c r="E19" s="134">
        <f>VLOOKUP($A19, 'Table 6 - Full data'!$A$2:$M$181,5,FALSE)</f>
        <v>1735</v>
      </c>
      <c r="F19" s="134">
        <f>VLOOKUP($A19, 'Table 6 - Full data'!$A$2:$M$181,6,FALSE)</f>
        <v>1475</v>
      </c>
      <c r="G19" s="134">
        <f>VLOOKUP($A19, 'Table 6 - Full data'!$A$2:$M$181,7,FALSE)</f>
        <v>2725</v>
      </c>
      <c r="H19" s="134">
        <f>VLOOKUP($A19, 'Table 6 - Full data'!$A$2:$M$181,8,FALSE)</f>
        <v>550</v>
      </c>
      <c r="I19" s="111">
        <f>VLOOKUP($A19, 'Table 6 - Full data'!$A$2:$M$181,9,FALSE)</f>
        <v>0.32</v>
      </c>
      <c r="J19" s="111">
        <f>VLOOKUP($A19, 'Table 6 - Full data'!$A$2:$M$181,10,FALSE)</f>
        <v>0.33</v>
      </c>
      <c r="K19" s="111">
        <f>VLOOKUP($A19, 'Table 6 - Full data'!$A$2:$M$181,11,FALSE)</f>
        <v>0.28000000000000003</v>
      </c>
      <c r="L19" s="111">
        <f>VLOOKUP($A19, 'Table 6 - Full data'!$A$2:$M$181,12,FALSE)</f>
        <v>0.52</v>
      </c>
      <c r="M19" s="111">
        <f>VLOOKUP($A19, 'Table 6 - Full data'!$A$2:$M$181,13,FALSE)</f>
        <v>0.1</v>
      </c>
      <c r="N19" s="27"/>
      <c r="O19" s="27"/>
      <c r="P19" s="27"/>
      <c r="Q19" s="27"/>
      <c r="R19" s="27"/>
      <c r="S19" s="27"/>
      <c r="T19" s="27"/>
      <c r="U19" s="27"/>
      <c r="V19" s="27"/>
      <c r="W19" s="27"/>
      <c r="X19" s="27"/>
      <c r="Y19" s="27"/>
      <c r="Z19" s="27"/>
      <c r="AA19" s="27"/>
    </row>
    <row r="20" spans="1:27" ht="15.75" x14ac:dyDescent="0.25">
      <c r="A20" s="41" t="str">
        <f xml:space="preserve"> "East Renfrewshire " &amp;$B$7</f>
        <v>East Renfrewshire All time</v>
      </c>
      <c r="B20" s="135">
        <f>VLOOKUP($A20, 'Table 6 - Full data'!$A$2:$M$181,2,FALSE)</f>
        <v>2940</v>
      </c>
      <c r="C20" s="111">
        <f>VLOOKUP($A20, 'Table 6 - Full data'!$A$2:$M$181,3,FALSE)</f>
        <v>0.01</v>
      </c>
      <c r="D20" s="134">
        <f>VLOOKUP($A20, 'Table 6 - Full data'!$A$2:$M$181,4,FALSE)</f>
        <v>950</v>
      </c>
      <c r="E20" s="134">
        <f>VLOOKUP($A20, 'Table 6 - Full data'!$A$2:$M$181,5,FALSE)</f>
        <v>955</v>
      </c>
      <c r="F20" s="134">
        <f>VLOOKUP($A20, 'Table 6 - Full data'!$A$2:$M$181,6,FALSE)</f>
        <v>800</v>
      </c>
      <c r="G20" s="134">
        <f>VLOOKUP($A20, 'Table 6 - Full data'!$A$2:$M$181,7,FALSE)</f>
        <v>1490</v>
      </c>
      <c r="H20" s="134">
        <f>VLOOKUP($A20, 'Table 6 - Full data'!$A$2:$M$181,8,FALSE)</f>
        <v>305</v>
      </c>
      <c r="I20" s="111">
        <f>VLOOKUP($A20, 'Table 6 - Full data'!$A$2:$M$181,9,FALSE)</f>
        <v>0.32</v>
      </c>
      <c r="J20" s="111">
        <f>VLOOKUP($A20, 'Table 6 - Full data'!$A$2:$M$181,10,FALSE)</f>
        <v>0.33</v>
      </c>
      <c r="K20" s="111">
        <f>VLOOKUP($A20, 'Table 6 - Full data'!$A$2:$M$181,11,FALSE)</f>
        <v>0.27</v>
      </c>
      <c r="L20" s="111">
        <f>VLOOKUP($A20, 'Table 6 - Full data'!$A$2:$M$181,12,FALSE)</f>
        <v>0.51</v>
      </c>
      <c r="M20" s="111">
        <f>VLOOKUP($A20, 'Table 6 - Full data'!$A$2:$M$181,13,FALSE)</f>
        <v>0.1</v>
      </c>
      <c r="N20" s="27"/>
      <c r="O20" s="27"/>
      <c r="P20" s="27"/>
      <c r="Q20" s="27"/>
      <c r="R20" s="27"/>
      <c r="S20" s="27"/>
      <c r="T20" s="27"/>
      <c r="U20" s="27"/>
      <c r="V20" s="27"/>
      <c r="W20" s="27"/>
      <c r="X20" s="27"/>
      <c r="Y20" s="27"/>
      <c r="Z20" s="27"/>
      <c r="AA20" s="27"/>
    </row>
    <row r="21" spans="1:27" ht="15.75" x14ac:dyDescent="0.25">
      <c r="A21" s="41" t="str">
        <f xml:space="preserve"> "Edinburgh, City of " &amp;$B$7</f>
        <v>Edinburgh, City of All time</v>
      </c>
      <c r="B21" s="135">
        <f>VLOOKUP($A21, 'Table 6 - Full data'!$A$2:$M$181,2,FALSE)</f>
        <v>19890</v>
      </c>
      <c r="C21" s="111">
        <f>VLOOKUP($A21, 'Table 6 - Full data'!$A$2:$M$181,3,FALSE)</f>
        <v>0.06</v>
      </c>
      <c r="D21" s="134">
        <f>VLOOKUP($A21, 'Table 6 - Full data'!$A$2:$M$181,4,FALSE)</f>
        <v>6545</v>
      </c>
      <c r="E21" s="134">
        <f>VLOOKUP($A21, 'Table 6 - Full data'!$A$2:$M$181,5,FALSE)</f>
        <v>6435</v>
      </c>
      <c r="F21" s="134">
        <f>VLOOKUP($A21, 'Table 6 - Full data'!$A$2:$M$181,6,FALSE)</f>
        <v>5000</v>
      </c>
      <c r="G21" s="134">
        <f>VLOOKUP($A21, 'Table 6 - Full data'!$A$2:$M$181,7,FALSE)</f>
        <v>10830</v>
      </c>
      <c r="H21" s="134">
        <f>VLOOKUP($A21, 'Table 6 - Full data'!$A$2:$M$181,8,FALSE)</f>
        <v>2100</v>
      </c>
      <c r="I21" s="111">
        <f>VLOOKUP($A21, 'Table 6 - Full data'!$A$2:$M$181,9,FALSE)</f>
        <v>0.33</v>
      </c>
      <c r="J21" s="111">
        <f>VLOOKUP($A21, 'Table 6 - Full data'!$A$2:$M$181,10,FALSE)</f>
        <v>0.32</v>
      </c>
      <c r="K21" s="111">
        <f>VLOOKUP($A21, 'Table 6 - Full data'!$A$2:$M$181,11,FALSE)</f>
        <v>0.25</v>
      </c>
      <c r="L21" s="111">
        <f>VLOOKUP($A21, 'Table 6 - Full data'!$A$2:$M$181,12,FALSE)</f>
        <v>0.54</v>
      </c>
      <c r="M21" s="111">
        <f>VLOOKUP($A21, 'Table 6 - Full data'!$A$2:$M$181,13,FALSE)</f>
        <v>0.11</v>
      </c>
      <c r="N21" s="27"/>
      <c r="O21" s="27"/>
      <c r="P21" s="27"/>
      <c r="Q21" s="27"/>
      <c r="R21" s="27"/>
      <c r="S21" s="27"/>
      <c r="T21" s="27"/>
      <c r="U21" s="27"/>
      <c r="V21" s="27"/>
      <c r="W21" s="27"/>
      <c r="X21" s="27"/>
      <c r="Y21" s="27"/>
      <c r="Z21" s="27"/>
      <c r="AA21" s="27"/>
    </row>
    <row r="22" spans="1:27" ht="15.75" x14ac:dyDescent="0.25">
      <c r="A22" s="41" t="str">
        <f xml:space="preserve"> "Falkirk " &amp;$B$7</f>
        <v>Falkirk All time</v>
      </c>
      <c r="B22" s="135">
        <f>VLOOKUP($A22, 'Table 6 - Full data'!$A$2:$M$181,2,FALSE)</f>
        <v>9085</v>
      </c>
      <c r="C22" s="111">
        <f>VLOOKUP($A22, 'Table 6 - Full data'!$A$2:$M$181,3,FALSE)</f>
        <v>0.03</v>
      </c>
      <c r="D22" s="134">
        <f>VLOOKUP($A22, 'Table 6 - Full data'!$A$2:$M$181,4,FALSE)</f>
        <v>3015</v>
      </c>
      <c r="E22" s="134">
        <f>VLOOKUP($A22, 'Table 6 - Full data'!$A$2:$M$181,5,FALSE)</f>
        <v>2985</v>
      </c>
      <c r="F22" s="134">
        <f>VLOOKUP($A22, 'Table 6 - Full data'!$A$2:$M$181,6,FALSE)</f>
        <v>2320</v>
      </c>
      <c r="G22" s="134">
        <f>VLOOKUP($A22, 'Table 6 - Full data'!$A$2:$M$181,7,FALSE)</f>
        <v>4945</v>
      </c>
      <c r="H22" s="134">
        <f>VLOOKUP($A22, 'Table 6 - Full data'!$A$2:$M$181,8,FALSE)</f>
        <v>885</v>
      </c>
      <c r="I22" s="111">
        <f>VLOOKUP($A22, 'Table 6 - Full data'!$A$2:$M$181,9,FALSE)</f>
        <v>0.33</v>
      </c>
      <c r="J22" s="111">
        <f>VLOOKUP($A22, 'Table 6 - Full data'!$A$2:$M$181,10,FALSE)</f>
        <v>0.33</v>
      </c>
      <c r="K22" s="111">
        <f>VLOOKUP($A22, 'Table 6 - Full data'!$A$2:$M$181,11,FALSE)</f>
        <v>0.26</v>
      </c>
      <c r="L22" s="111">
        <f>VLOOKUP($A22, 'Table 6 - Full data'!$A$2:$M$181,12,FALSE)</f>
        <v>0.54</v>
      </c>
      <c r="M22" s="111">
        <f>VLOOKUP($A22, 'Table 6 - Full data'!$A$2:$M$181,13,FALSE)</f>
        <v>0.1</v>
      </c>
      <c r="N22" s="27"/>
      <c r="O22" s="27"/>
      <c r="P22" s="27"/>
      <c r="Q22" s="27"/>
      <c r="R22" s="27"/>
      <c r="S22" s="27"/>
      <c r="T22" s="27"/>
      <c r="U22" s="27"/>
      <c r="V22" s="27"/>
      <c r="W22" s="27"/>
      <c r="X22" s="27"/>
      <c r="Y22" s="27"/>
      <c r="Z22" s="27"/>
      <c r="AA22" s="27"/>
    </row>
    <row r="23" spans="1:27" ht="15.75" x14ac:dyDescent="0.25">
      <c r="A23" s="41" t="str">
        <f xml:space="preserve"> "Fife " &amp;$B$7</f>
        <v>Fife All time</v>
      </c>
      <c r="B23" s="135">
        <f>VLOOKUP($A23, 'Table 6 - Full data'!$A$2:$M$181,2,FALSE)</f>
        <v>23760</v>
      </c>
      <c r="C23" s="111">
        <f>VLOOKUP($A23, 'Table 6 - Full data'!$A$2:$M$181,3,FALSE)</f>
        <v>7.0000000000000007E-2</v>
      </c>
      <c r="D23" s="134">
        <f>VLOOKUP($A23, 'Table 6 - Full data'!$A$2:$M$181,4,FALSE)</f>
        <v>7945</v>
      </c>
      <c r="E23" s="134">
        <f>VLOOKUP($A23, 'Table 6 - Full data'!$A$2:$M$181,5,FALSE)</f>
        <v>8105</v>
      </c>
      <c r="F23" s="134">
        <f>VLOOKUP($A23, 'Table 6 - Full data'!$A$2:$M$181,6,FALSE)</f>
        <v>6060</v>
      </c>
      <c r="G23" s="134">
        <f>VLOOKUP($A23, 'Table 6 - Full data'!$A$2:$M$181,7,FALSE)</f>
        <v>12720</v>
      </c>
      <c r="H23" s="134">
        <f>VLOOKUP($A23, 'Table 6 - Full data'!$A$2:$M$181,8,FALSE)</f>
        <v>2285</v>
      </c>
      <c r="I23" s="111">
        <f>VLOOKUP($A23, 'Table 6 - Full data'!$A$2:$M$181,9,FALSE)</f>
        <v>0.33</v>
      </c>
      <c r="J23" s="111">
        <f>VLOOKUP($A23, 'Table 6 - Full data'!$A$2:$M$181,10,FALSE)</f>
        <v>0.34</v>
      </c>
      <c r="K23" s="111">
        <f>VLOOKUP($A23, 'Table 6 - Full data'!$A$2:$M$181,11,FALSE)</f>
        <v>0.26</v>
      </c>
      <c r="L23" s="111">
        <f>VLOOKUP($A23, 'Table 6 - Full data'!$A$2:$M$181,12,FALSE)</f>
        <v>0.54</v>
      </c>
      <c r="M23" s="111">
        <f>VLOOKUP($A23, 'Table 6 - Full data'!$A$2:$M$181,13,FALSE)</f>
        <v>0.1</v>
      </c>
      <c r="N23" s="27"/>
      <c r="O23" s="27"/>
      <c r="P23" s="27"/>
      <c r="Q23" s="27"/>
      <c r="R23" s="27"/>
      <c r="S23" s="27"/>
      <c r="T23" s="27"/>
      <c r="U23" s="27"/>
      <c r="V23" s="27"/>
      <c r="W23" s="27"/>
      <c r="X23" s="27"/>
      <c r="Y23" s="27"/>
      <c r="Z23" s="27"/>
      <c r="AA23" s="27"/>
    </row>
    <row r="24" spans="1:27" ht="15.75" x14ac:dyDescent="0.25">
      <c r="A24" s="41" t="str">
        <f xml:space="preserve"> "Glasgow City " &amp;$B$7</f>
        <v>Glasgow City All time</v>
      </c>
      <c r="B24" s="135">
        <f>VLOOKUP($A24, 'Table 6 - Full data'!$A$2:$M$181,2,FALSE)</f>
        <v>53910</v>
      </c>
      <c r="C24" s="111">
        <f>VLOOKUP($A24, 'Table 6 - Full data'!$A$2:$M$181,3,FALSE)</f>
        <v>0.17</v>
      </c>
      <c r="D24" s="134">
        <f>VLOOKUP($A24, 'Table 6 - Full data'!$A$2:$M$181,4,FALSE)</f>
        <v>16990</v>
      </c>
      <c r="E24" s="134">
        <f>VLOOKUP($A24, 'Table 6 - Full data'!$A$2:$M$181,5,FALSE)</f>
        <v>17255</v>
      </c>
      <c r="F24" s="134">
        <f>VLOOKUP($A24, 'Table 6 - Full data'!$A$2:$M$181,6,FALSE)</f>
        <v>13250</v>
      </c>
      <c r="G24" s="134">
        <f>VLOOKUP($A24, 'Table 6 - Full data'!$A$2:$M$181,7,FALSE)</f>
        <v>28050</v>
      </c>
      <c r="H24" s="134">
        <f>VLOOKUP($A24, 'Table 6 - Full data'!$A$2:$M$181,8,FALSE)</f>
        <v>7110</v>
      </c>
      <c r="I24" s="111">
        <f>VLOOKUP($A24, 'Table 6 - Full data'!$A$2:$M$181,9,FALSE)</f>
        <v>0.32</v>
      </c>
      <c r="J24" s="111">
        <f>VLOOKUP($A24, 'Table 6 - Full data'!$A$2:$M$181,10,FALSE)</f>
        <v>0.32</v>
      </c>
      <c r="K24" s="111">
        <f>VLOOKUP($A24, 'Table 6 - Full data'!$A$2:$M$181,11,FALSE)</f>
        <v>0.25</v>
      </c>
      <c r="L24" s="111">
        <f>VLOOKUP($A24, 'Table 6 - Full data'!$A$2:$M$181,12,FALSE)</f>
        <v>0.52</v>
      </c>
      <c r="M24" s="111">
        <f>VLOOKUP($A24, 'Table 6 - Full data'!$A$2:$M$181,13,FALSE)</f>
        <v>0.13</v>
      </c>
      <c r="N24" s="27"/>
      <c r="O24" s="27"/>
      <c r="P24" s="27"/>
      <c r="Q24" s="27"/>
      <c r="R24" s="27"/>
      <c r="S24" s="27"/>
      <c r="T24" s="27"/>
      <c r="U24" s="27"/>
      <c r="V24" s="27"/>
      <c r="W24" s="27"/>
      <c r="X24" s="27"/>
      <c r="Y24" s="27"/>
      <c r="Z24" s="27"/>
      <c r="AA24" s="27"/>
    </row>
    <row r="25" spans="1:27" ht="15.75" x14ac:dyDescent="0.25">
      <c r="A25" s="41" t="str">
        <f xml:space="preserve"> "Highland " &amp;$B$7</f>
        <v>Highland All time</v>
      </c>
      <c r="B25" s="135">
        <f>VLOOKUP($A25, 'Table 6 - Full data'!$A$2:$M$181,2,FALSE)</f>
        <v>10455</v>
      </c>
      <c r="C25" s="111">
        <f>VLOOKUP($A25, 'Table 6 - Full data'!$A$2:$M$181,3,FALSE)</f>
        <v>0.03</v>
      </c>
      <c r="D25" s="134">
        <f>VLOOKUP($A25, 'Table 6 - Full data'!$A$2:$M$181,4,FALSE)</f>
        <v>3585</v>
      </c>
      <c r="E25" s="134">
        <f>VLOOKUP($A25, 'Table 6 - Full data'!$A$2:$M$181,5,FALSE)</f>
        <v>3520</v>
      </c>
      <c r="F25" s="134">
        <f>VLOOKUP($A25, 'Table 6 - Full data'!$A$2:$M$181,6,FALSE)</f>
        <v>2750</v>
      </c>
      <c r="G25" s="134">
        <f>VLOOKUP($A25, 'Table 6 - Full data'!$A$2:$M$181,7,FALSE)</f>
        <v>5525</v>
      </c>
      <c r="H25" s="134">
        <f>VLOOKUP($A25, 'Table 6 - Full data'!$A$2:$M$181,8,FALSE)</f>
        <v>1050</v>
      </c>
      <c r="I25" s="111">
        <f>VLOOKUP($A25, 'Table 6 - Full data'!$A$2:$M$181,9,FALSE)</f>
        <v>0.34</v>
      </c>
      <c r="J25" s="111">
        <f>VLOOKUP($A25, 'Table 6 - Full data'!$A$2:$M$181,10,FALSE)</f>
        <v>0.34</v>
      </c>
      <c r="K25" s="111">
        <f>VLOOKUP($A25, 'Table 6 - Full data'!$A$2:$M$181,11,FALSE)</f>
        <v>0.26</v>
      </c>
      <c r="L25" s="111">
        <f>VLOOKUP($A25, 'Table 6 - Full data'!$A$2:$M$181,12,FALSE)</f>
        <v>0.53</v>
      </c>
      <c r="M25" s="111">
        <f>VLOOKUP($A25, 'Table 6 - Full data'!$A$2:$M$181,13,FALSE)</f>
        <v>0.1</v>
      </c>
      <c r="N25" s="27"/>
      <c r="O25" s="27"/>
      <c r="P25" s="27"/>
      <c r="Q25" s="27"/>
      <c r="R25" s="27"/>
      <c r="S25" s="27"/>
      <c r="T25" s="27"/>
      <c r="U25" s="27"/>
      <c r="V25" s="27"/>
      <c r="W25" s="27"/>
      <c r="X25" s="27"/>
      <c r="Y25" s="27"/>
      <c r="Z25" s="27"/>
      <c r="AA25" s="27"/>
    </row>
    <row r="26" spans="1:27" ht="15.75" x14ac:dyDescent="0.25">
      <c r="A26" s="41" t="str">
        <f xml:space="preserve"> "Inverclyde " &amp;$B$7</f>
        <v>Inverclyde All time</v>
      </c>
      <c r="B26" s="135">
        <f>VLOOKUP($A26, 'Table 6 - Full data'!$A$2:$M$181,2,FALSE)</f>
        <v>5325</v>
      </c>
      <c r="C26" s="111">
        <f>VLOOKUP($A26, 'Table 6 - Full data'!$A$2:$M$181,3,FALSE)</f>
        <v>0.02</v>
      </c>
      <c r="D26" s="134">
        <f>VLOOKUP($A26, 'Table 6 - Full data'!$A$2:$M$181,4,FALSE)</f>
        <v>1705</v>
      </c>
      <c r="E26" s="134">
        <f>VLOOKUP($A26, 'Table 6 - Full data'!$A$2:$M$181,5,FALSE)</f>
        <v>1680</v>
      </c>
      <c r="F26" s="134">
        <f>VLOOKUP($A26, 'Table 6 - Full data'!$A$2:$M$181,6,FALSE)</f>
        <v>1230</v>
      </c>
      <c r="G26" s="134">
        <f>VLOOKUP($A26, 'Table 6 - Full data'!$A$2:$M$181,7,FALSE)</f>
        <v>2740</v>
      </c>
      <c r="H26" s="134">
        <f>VLOOKUP($A26, 'Table 6 - Full data'!$A$2:$M$181,8,FALSE)</f>
        <v>680</v>
      </c>
      <c r="I26" s="111">
        <f>VLOOKUP($A26, 'Table 6 - Full data'!$A$2:$M$181,9,FALSE)</f>
        <v>0.32</v>
      </c>
      <c r="J26" s="111">
        <f>VLOOKUP($A26, 'Table 6 - Full data'!$A$2:$M$181,10,FALSE)</f>
        <v>0.32</v>
      </c>
      <c r="K26" s="111">
        <f>VLOOKUP($A26, 'Table 6 - Full data'!$A$2:$M$181,11,FALSE)</f>
        <v>0.23</v>
      </c>
      <c r="L26" s="111">
        <f>VLOOKUP($A26, 'Table 6 - Full data'!$A$2:$M$181,12,FALSE)</f>
        <v>0.51</v>
      </c>
      <c r="M26" s="111">
        <f>VLOOKUP($A26, 'Table 6 - Full data'!$A$2:$M$181,13,FALSE)</f>
        <v>0.13</v>
      </c>
      <c r="N26" s="27"/>
      <c r="O26" s="27"/>
      <c r="P26" s="27"/>
      <c r="Q26" s="27"/>
      <c r="R26" s="27"/>
      <c r="S26" s="27"/>
      <c r="T26" s="27"/>
      <c r="U26" s="27"/>
      <c r="V26" s="27"/>
      <c r="W26" s="27"/>
      <c r="X26" s="27"/>
      <c r="Y26" s="27"/>
      <c r="Z26" s="27"/>
      <c r="AA26" s="27"/>
    </row>
    <row r="27" spans="1:27" ht="15.75" x14ac:dyDescent="0.25">
      <c r="A27" s="41" t="str">
        <f xml:space="preserve"> "Midlothian " &amp;$B$7</f>
        <v>Midlothian All time</v>
      </c>
      <c r="B27" s="135">
        <f>VLOOKUP($A27, 'Table 6 - Full data'!$A$2:$M$181,2,FALSE)</f>
        <v>6010</v>
      </c>
      <c r="C27" s="111">
        <f>VLOOKUP($A27, 'Table 6 - Full data'!$A$2:$M$181,3,FALSE)</f>
        <v>0.02</v>
      </c>
      <c r="D27" s="134">
        <f>VLOOKUP($A27, 'Table 6 - Full data'!$A$2:$M$181,4,FALSE)</f>
        <v>1930</v>
      </c>
      <c r="E27" s="134">
        <f>VLOOKUP($A27, 'Table 6 - Full data'!$A$2:$M$181,5,FALSE)</f>
        <v>2045</v>
      </c>
      <c r="F27" s="134">
        <f>VLOOKUP($A27, 'Table 6 - Full data'!$A$2:$M$181,6,FALSE)</f>
        <v>1605</v>
      </c>
      <c r="G27" s="134">
        <f>VLOOKUP($A27, 'Table 6 - Full data'!$A$2:$M$181,7,FALSE)</f>
        <v>3200</v>
      </c>
      <c r="H27" s="134">
        <f>VLOOKUP($A27, 'Table 6 - Full data'!$A$2:$M$181,8,FALSE)</f>
        <v>650</v>
      </c>
      <c r="I27" s="111">
        <f>VLOOKUP($A27, 'Table 6 - Full data'!$A$2:$M$181,9,FALSE)</f>
        <v>0.32</v>
      </c>
      <c r="J27" s="111">
        <f>VLOOKUP($A27, 'Table 6 - Full data'!$A$2:$M$181,10,FALSE)</f>
        <v>0.34</v>
      </c>
      <c r="K27" s="111">
        <f>VLOOKUP($A27, 'Table 6 - Full data'!$A$2:$M$181,11,FALSE)</f>
        <v>0.27</v>
      </c>
      <c r="L27" s="111">
        <f>VLOOKUP($A27, 'Table 6 - Full data'!$A$2:$M$181,12,FALSE)</f>
        <v>0.53</v>
      </c>
      <c r="M27" s="111">
        <f>VLOOKUP($A27, 'Table 6 - Full data'!$A$2:$M$181,13,FALSE)</f>
        <v>0.11</v>
      </c>
      <c r="N27" s="27"/>
      <c r="O27" s="27"/>
      <c r="P27" s="27"/>
      <c r="Q27" s="27"/>
      <c r="R27" s="27"/>
      <c r="S27" s="27"/>
      <c r="T27" s="27"/>
      <c r="U27" s="27"/>
      <c r="V27" s="27"/>
      <c r="W27" s="27"/>
      <c r="X27" s="27"/>
      <c r="Y27" s="27"/>
      <c r="Z27" s="27"/>
      <c r="AA27" s="27"/>
    </row>
    <row r="28" spans="1:27" ht="15.75" x14ac:dyDescent="0.25">
      <c r="A28" s="41" t="str">
        <f xml:space="preserve"> "Moray " &amp;$B$7</f>
        <v>Moray All time</v>
      </c>
      <c r="B28" s="135">
        <f>VLOOKUP($A28, 'Table 6 - Full data'!$A$2:$M$181,2,FALSE)</f>
        <v>4340</v>
      </c>
      <c r="C28" s="111">
        <f>VLOOKUP($A28, 'Table 6 - Full data'!$A$2:$M$181,3,FALSE)</f>
        <v>0.01</v>
      </c>
      <c r="D28" s="134">
        <f>VLOOKUP($A28, 'Table 6 - Full data'!$A$2:$M$181,4,FALSE)</f>
        <v>1455</v>
      </c>
      <c r="E28" s="134">
        <f>VLOOKUP($A28, 'Table 6 - Full data'!$A$2:$M$181,5,FALSE)</f>
        <v>1410</v>
      </c>
      <c r="F28" s="134">
        <f>VLOOKUP($A28, 'Table 6 - Full data'!$A$2:$M$181,6,FALSE)</f>
        <v>1155</v>
      </c>
      <c r="G28" s="134">
        <f>VLOOKUP($A28, 'Table 6 - Full data'!$A$2:$M$181,7,FALSE)</f>
        <v>2370</v>
      </c>
      <c r="H28" s="134">
        <f>VLOOKUP($A28, 'Table 6 - Full data'!$A$2:$M$181,8,FALSE)</f>
        <v>415</v>
      </c>
      <c r="I28" s="111">
        <f>VLOOKUP($A28, 'Table 6 - Full data'!$A$2:$M$181,9,FALSE)</f>
        <v>0.34</v>
      </c>
      <c r="J28" s="111">
        <f>VLOOKUP($A28, 'Table 6 - Full data'!$A$2:$M$181,10,FALSE)</f>
        <v>0.33</v>
      </c>
      <c r="K28" s="111">
        <f>VLOOKUP($A28, 'Table 6 - Full data'!$A$2:$M$181,11,FALSE)</f>
        <v>0.27</v>
      </c>
      <c r="L28" s="111">
        <f>VLOOKUP($A28, 'Table 6 - Full data'!$A$2:$M$181,12,FALSE)</f>
        <v>0.55000000000000004</v>
      </c>
      <c r="M28" s="111">
        <f>VLOOKUP($A28, 'Table 6 - Full data'!$A$2:$M$181,13,FALSE)</f>
        <v>0.1</v>
      </c>
      <c r="N28" s="27"/>
      <c r="O28" s="27"/>
      <c r="P28" s="27"/>
      <c r="Q28" s="27"/>
      <c r="R28" s="27"/>
      <c r="S28" s="27"/>
      <c r="T28" s="27"/>
      <c r="U28" s="27"/>
      <c r="V28" s="27"/>
      <c r="W28" s="27"/>
      <c r="X28" s="27"/>
      <c r="Y28" s="27"/>
      <c r="Z28" s="27"/>
      <c r="AA28" s="27"/>
    </row>
    <row r="29" spans="1:27" ht="15.75" x14ac:dyDescent="0.25">
      <c r="A29" s="41" t="str">
        <f xml:space="preserve"> "Na h-Eileanan Siar " &amp;$B$7</f>
        <v>Na h-Eileanan Siar All time</v>
      </c>
      <c r="B29" s="135">
        <f>VLOOKUP($A29, 'Table 6 - Full data'!$A$2:$M$181,2,FALSE)</f>
        <v>925</v>
      </c>
      <c r="C29" s="111">
        <f>VLOOKUP($A29, 'Table 6 - Full data'!$A$2:$M$181,3,FALSE)</f>
        <v>0</v>
      </c>
      <c r="D29" s="134">
        <f>VLOOKUP($A29, 'Table 6 - Full data'!$A$2:$M$181,4,FALSE)</f>
        <v>325</v>
      </c>
      <c r="E29" s="134">
        <f>VLOOKUP($A29, 'Table 6 - Full data'!$A$2:$M$181,5,FALSE)</f>
        <v>315</v>
      </c>
      <c r="F29" s="134">
        <f>VLOOKUP($A29, 'Table 6 - Full data'!$A$2:$M$181,6,FALSE)</f>
        <v>240</v>
      </c>
      <c r="G29" s="134">
        <f>VLOOKUP($A29, 'Table 6 - Full data'!$A$2:$M$181,7,FALSE)</f>
        <v>485</v>
      </c>
      <c r="H29" s="134">
        <f>VLOOKUP($A29, 'Table 6 - Full data'!$A$2:$M$181,8,FALSE)</f>
        <v>95</v>
      </c>
      <c r="I29" s="111">
        <f>VLOOKUP($A29, 'Table 6 - Full data'!$A$2:$M$181,9,FALSE)</f>
        <v>0.35</v>
      </c>
      <c r="J29" s="111">
        <f>VLOOKUP($A29, 'Table 6 - Full data'!$A$2:$M$181,10,FALSE)</f>
        <v>0.34</v>
      </c>
      <c r="K29" s="111">
        <f>VLOOKUP($A29, 'Table 6 - Full data'!$A$2:$M$181,11,FALSE)</f>
        <v>0.26</v>
      </c>
      <c r="L29" s="111">
        <f>VLOOKUP($A29, 'Table 6 - Full data'!$A$2:$M$181,12,FALSE)</f>
        <v>0.53</v>
      </c>
      <c r="M29" s="111">
        <f>VLOOKUP($A29, 'Table 6 - Full data'!$A$2:$M$181,13,FALSE)</f>
        <v>0.1</v>
      </c>
      <c r="N29" s="27"/>
      <c r="O29" s="27"/>
      <c r="P29" s="27"/>
      <c r="Q29" s="27"/>
      <c r="R29" s="27"/>
      <c r="S29" s="27"/>
      <c r="T29" s="27"/>
      <c r="U29" s="27"/>
      <c r="V29" s="27"/>
      <c r="W29" s="27"/>
      <c r="X29" s="27"/>
      <c r="Y29" s="27"/>
      <c r="Z29" s="27"/>
      <c r="AA29" s="27"/>
    </row>
    <row r="30" spans="1:27" ht="15.75" x14ac:dyDescent="0.25">
      <c r="A30" s="41" t="str">
        <f xml:space="preserve"> "North Ayrshire " &amp;$B$7</f>
        <v>North Ayrshire All time</v>
      </c>
      <c r="B30" s="135">
        <f>VLOOKUP($A30, 'Table 6 - Full data'!$A$2:$M$181,2,FALSE)</f>
        <v>10655</v>
      </c>
      <c r="C30" s="111">
        <f>VLOOKUP($A30, 'Table 6 - Full data'!$A$2:$M$181,3,FALSE)</f>
        <v>0.03</v>
      </c>
      <c r="D30" s="134">
        <f>VLOOKUP($A30, 'Table 6 - Full data'!$A$2:$M$181,4,FALSE)</f>
        <v>3395</v>
      </c>
      <c r="E30" s="134">
        <f>VLOOKUP($A30, 'Table 6 - Full data'!$A$2:$M$181,5,FALSE)</f>
        <v>3535</v>
      </c>
      <c r="F30" s="134">
        <f>VLOOKUP($A30, 'Table 6 - Full data'!$A$2:$M$181,6,FALSE)</f>
        <v>2665</v>
      </c>
      <c r="G30" s="134">
        <f>VLOOKUP($A30, 'Table 6 - Full data'!$A$2:$M$181,7,FALSE)</f>
        <v>5560</v>
      </c>
      <c r="H30" s="134">
        <f>VLOOKUP($A30, 'Table 6 - Full data'!$A$2:$M$181,8,FALSE)</f>
        <v>1190</v>
      </c>
      <c r="I30" s="111">
        <f>VLOOKUP($A30, 'Table 6 - Full data'!$A$2:$M$181,9,FALSE)</f>
        <v>0.32</v>
      </c>
      <c r="J30" s="111">
        <f>VLOOKUP($A30, 'Table 6 - Full data'!$A$2:$M$181,10,FALSE)</f>
        <v>0.33</v>
      </c>
      <c r="K30" s="111">
        <f>VLOOKUP($A30, 'Table 6 - Full data'!$A$2:$M$181,11,FALSE)</f>
        <v>0.25</v>
      </c>
      <c r="L30" s="111">
        <f>VLOOKUP($A30, 'Table 6 - Full data'!$A$2:$M$181,12,FALSE)</f>
        <v>0.52</v>
      </c>
      <c r="M30" s="111">
        <f>VLOOKUP($A30, 'Table 6 - Full data'!$A$2:$M$181,13,FALSE)</f>
        <v>0.11</v>
      </c>
      <c r="N30" s="27"/>
      <c r="O30" s="27"/>
      <c r="P30" s="27"/>
      <c r="Q30" s="27"/>
      <c r="R30" s="27"/>
      <c r="S30" s="27"/>
      <c r="T30" s="27"/>
      <c r="U30" s="27"/>
      <c r="V30" s="27"/>
      <c r="W30" s="27"/>
      <c r="X30" s="27"/>
      <c r="Y30" s="27"/>
      <c r="Z30" s="27"/>
      <c r="AA30" s="27"/>
    </row>
    <row r="31" spans="1:27" ht="15.75" x14ac:dyDescent="0.25">
      <c r="A31" s="41" t="str">
        <f xml:space="preserve"> "North Lanarkshire " &amp;$B$7</f>
        <v>North Lanarkshire All time</v>
      </c>
      <c r="B31" s="135">
        <f>VLOOKUP($A31, 'Table 6 - Full data'!$A$2:$M$181,2,FALSE)</f>
        <v>25105</v>
      </c>
      <c r="C31" s="111">
        <f>VLOOKUP($A31, 'Table 6 - Full data'!$A$2:$M$181,3,FALSE)</f>
        <v>0.08</v>
      </c>
      <c r="D31" s="134">
        <f>VLOOKUP($A31, 'Table 6 - Full data'!$A$2:$M$181,4,FALSE)</f>
        <v>8245</v>
      </c>
      <c r="E31" s="134">
        <f>VLOOKUP($A31, 'Table 6 - Full data'!$A$2:$M$181,5,FALSE)</f>
        <v>8130</v>
      </c>
      <c r="F31" s="134">
        <f>VLOOKUP($A31, 'Table 6 - Full data'!$A$2:$M$181,6,FALSE)</f>
        <v>6275</v>
      </c>
      <c r="G31" s="134">
        <f>VLOOKUP($A31, 'Table 6 - Full data'!$A$2:$M$181,7,FALSE)</f>
        <v>13135</v>
      </c>
      <c r="H31" s="134">
        <f>VLOOKUP($A31, 'Table 6 - Full data'!$A$2:$M$181,8,FALSE)</f>
        <v>2900</v>
      </c>
      <c r="I31" s="111">
        <f>VLOOKUP($A31, 'Table 6 - Full data'!$A$2:$M$181,9,FALSE)</f>
        <v>0.33</v>
      </c>
      <c r="J31" s="111">
        <f>VLOOKUP($A31, 'Table 6 - Full data'!$A$2:$M$181,10,FALSE)</f>
        <v>0.32</v>
      </c>
      <c r="K31" s="111">
        <f>VLOOKUP($A31, 'Table 6 - Full data'!$A$2:$M$181,11,FALSE)</f>
        <v>0.25</v>
      </c>
      <c r="L31" s="111">
        <f>VLOOKUP($A31, 'Table 6 - Full data'!$A$2:$M$181,12,FALSE)</f>
        <v>0.52</v>
      </c>
      <c r="M31" s="111">
        <f>VLOOKUP($A31, 'Table 6 - Full data'!$A$2:$M$181,13,FALSE)</f>
        <v>0.12</v>
      </c>
      <c r="N31" s="27"/>
      <c r="O31" s="27"/>
      <c r="P31" s="27"/>
      <c r="Q31" s="27"/>
      <c r="R31" s="27"/>
      <c r="S31" s="27"/>
      <c r="T31" s="27"/>
      <c r="U31" s="27"/>
      <c r="V31" s="27"/>
      <c r="W31" s="27"/>
      <c r="X31" s="27"/>
      <c r="Y31" s="27"/>
      <c r="Z31" s="27"/>
      <c r="AA31" s="27"/>
    </row>
    <row r="32" spans="1:27" ht="15.75" x14ac:dyDescent="0.25">
      <c r="A32" s="41" t="str">
        <f xml:space="preserve"> "Orkney Islands " &amp;$B$7</f>
        <v>Orkney Islands All time</v>
      </c>
      <c r="B32" s="135">
        <f>VLOOKUP($A32, 'Table 6 - Full data'!$A$2:$M$181,2,FALSE)</f>
        <v>660</v>
      </c>
      <c r="C32" s="111">
        <f>VLOOKUP($A32, 'Table 6 - Full data'!$A$2:$M$181,3,FALSE)</f>
        <v>0</v>
      </c>
      <c r="D32" s="134">
        <f>VLOOKUP($A32, 'Table 6 - Full data'!$A$2:$M$181,4,FALSE)</f>
        <v>220</v>
      </c>
      <c r="E32" s="134">
        <f>VLOOKUP($A32, 'Table 6 - Full data'!$A$2:$M$181,5,FALSE)</f>
        <v>220</v>
      </c>
      <c r="F32" s="134">
        <f>VLOOKUP($A32, 'Table 6 - Full data'!$A$2:$M$181,6,FALSE)</f>
        <v>190</v>
      </c>
      <c r="G32" s="134">
        <f>VLOOKUP($A32, 'Table 6 - Full data'!$A$2:$M$181,7,FALSE)</f>
        <v>350</v>
      </c>
      <c r="H32" s="134">
        <f>VLOOKUP($A32, 'Table 6 - Full data'!$A$2:$M$181,8,FALSE)</f>
        <v>55</v>
      </c>
      <c r="I32" s="111">
        <f>VLOOKUP($A32, 'Table 6 - Full data'!$A$2:$M$181,9,FALSE)</f>
        <v>0.33</v>
      </c>
      <c r="J32" s="111">
        <f>VLOOKUP($A32, 'Table 6 - Full data'!$A$2:$M$181,10,FALSE)</f>
        <v>0.33</v>
      </c>
      <c r="K32" s="111">
        <f>VLOOKUP($A32, 'Table 6 - Full data'!$A$2:$M$181,11,FALSE)</f>
        <v>0.28999999999999998</v>
      </c>
      <c r="L32" s="111">
        <f>VLOOKUP($A32, 'Table 6 - Full data'!$A$2:$M$181,12,FALSE)</f>
        <v>0.53</v>
      </c>
      <c r="M32" s="111">
        <f>VLOOKUP($A32, 'Table 6 - Full data'!$A$2:$M$181,13,FALSE)</f>
        <v>0.08</v>
      </c>
      <c r="N32" s="27"/>
      <c r="O32" s="27"/>
      <c r="P32" s="27"/>
      <c r="Q32" s="27"/>
      <c r="R32" s="27"/>
      <c r="S32" s="27"/>
      <c r="T32" s="27"/>
      <c r="U32" s="27"/>
      <c r="V32" s="27"/>
      <c r="W32" s="27"/>
      <c r="X32" s="27"/>
      <c r="Y32" s="27"/>
      <c r="Z32" s="27"/>
      <c r="AA32" s="27"/>
    </row>
    <row r="33" spans="1:27" ht="15.75" x14ac:dyDescent="0.25">
      <c r="A33" s="41" t="str">
        <f xml:space="preserve"> "Perth &amp; Kinross " &amp;$B$7</f>
        <v>Perth &amp; Kinross All time</v>
      </c>
      <c r="B33" s="135">
        <f>VLOOKUP($A33, 'Table 6 - Full data'!$A$2:$M$181,2,FALSE)</f>
        <v>6265</v>
      </c>
      <c r="C33" s="111">
        <f>VLOOKUP($A33, 'Table 6 - Full data'!$A$2:$M$181,3,FALSE)</f>
        <v>0.02</v>
      </c>
      <c r="D33" s="134">
        <f>VLOOKUP($A33, 'Table 6 - Full data'!$A$2:$M$181,4,FALSE)</f>
        <v>2175</v>
      </c>
      <c r="E33" s="134">
        <f>VLOOKUP($A33, 'Table 6 - Full data'!$A$2:$M$181,5,FALSE)</f>
        <v>2120</v>
      </c>
      <c r="F33" s="134">
        <f>VLOOKUP($A33, 'Table 6 - Full data'!$A$2:$M$181,6,FALSE)</f>
        <v>1635</v>
      </c>
      <c r="G33" s="134">
        <f>VLOOKUP($A33, 'Table 6 - Full data'!$A$2:$M$181,7,FALSE)</f>
        <v>3375</v>
      </c>
      <c r="H33" s="134">
        <f>VLOOKUP($A33, 'Table 6 - Full data'!$A$2:$M$181,8,FALSE)</f>
        <v>575</v>
      </c>
      <c r="I33" s="111">
        <f>VLOOKUP($A33, 'Table 6 - Full data'!$A$2:$M$181,9,FALSE)</f>
        <v>0.35</v>
      </c>
      <c r="J33" s="111">
        <f>VLOOKUP($A33, 'Table 6 - Full data'!$A$2:$M$181,10,FALSE)</f>
        <v>0.34</v>
      </c>
      <c r="K33" s="111">
        <f>VLOOKUP($A33, 'Table 6 - Full data'!$A$2:$M$181,11,FALSE)</f>
        <v>0.26</v>
      </c>
      <c r="L33" s="111">
        <f>VLOOKUP($A33, 'Table 6 - Full data'!$A$2:$M$181,12,FALSE)</f>
        <v>0.54</v>
      </c>
      <c r="M33" s="111">
        <f>VLOOKUP($A33, 'Table 6 - Full data'!$A$2:$M$181,13,FALSE)</f>
        <v>0.09</v>
      </c>
      <c r="N33" s="27"/>
      <c r="O33" s="27"/>
      <c r="P33" s="27"/>
      <c r="Q33" s="27"/>
      <c r="R33" s="27"/>
      <c r="S33" s="27"/>
      <c r="T33" s="27"/>
      <c r="U33" s="27"/>
      <c r="V33" s="27"/>
      <c r="W33" s="27"/>
      <c r="X33" s="27"/>
      <c r="Y33" s="27"/>
      <c r="Z33" s="27"/>
      <c r="AA33" s="27"/>
    </row>
    <row r="34" spans="1:27" ht="15.75" x14ac:dyDescent="0.25">
      <c r="A34" s="41" t="str">
        <f xml:space="preserve"> "Renfrewshire " &amp;$B$7</f>
        <v>Renfrewshire All time</v>
      </c>
      <c r="B34" s="135">
        <f>VLOOKUP($A34, 'Table 6 - Full data'!$A$2:$M$181,2,FALSE)</f>
        <v>10405</v>
      </c>
      <c r="C34" s="111">
        <f>VLOOKUP($A34, 'Table 6 - Full data'!$A$2:$M$181,3,FALSE)</f>
        <v>0.03</v>
      </c>
      <c r="D34" s="134">
        <f>VLOOKUP($A34, 'Table 6 - Full data'!$A$2:$M$181,4,FALSE)</f>
        <v>3355</v>
      </c>
      <c r="E34" s="134">
        <f>VLOOKUP($A34, 'Table 6 - Full data'!$A$2:$M$181,5,FALSE)</f>
        <v>3420</v>
      </c>
      <c r="F34" s="134">
        <f>VLOOKUP($A34, 'Table 6 - Full data'!$A$2:$M$181,6,FALSE)</f>
        <v>2615</v>
      </c>
      <c r="G34" s="134">
        <f>VLOOKUP($A34, 'Table 6 - Full data'!$A$2:$M$181,7,FALSE)</f>
        <v>5410</v>
      </c>
      <c r="H34" s="134">
        <f>VLOOKUP($A34, 'Table 6 - Full data'!$A$2:$M$181,8,FALSE)</f>
        <v>1110</v>
      </c>
      <c r="I34" s="111">
        <f>VLOOKUP($A34, 'Table 6 - Full data'!$A$2:$M$181,9,FALSE)</f>
        <v>0.32</v>
      </c>
      <c r="J34" s="111">
        <f>VLOOKUP($A34, 'Table 6 - Full data'!$A$2:$M$181,10,FALSE)</f>
        <v>0.33</v>
      </c>
      <c r="K34" s="111">
        <f>VLOOKUP($A34, 'Table 6 - Full data'!$A$2:$M$181,11,FALSE)</f>
        <v>0.25</v>
      </c>
      <c r="L34" s="111">
        <f>VLOOKUP($A34, 'Table 6 - Full data'!$A$2:$M$181,12,FALSE)</f>
        <v>0.52</v>
      </c>
      <c r="M34" s="111">
        <f>VLOOKUP($A34, 'Table 6 - Full data'!$A$2:$M$181,13,FALSE)</f>
        <v>0.11</v>
      </c>
      <c r="N34" s="27"/>
      <c r="O34" s="27"/>
      <c r="P34" s="27"/>
      <c r="Q34" s="27"/>
      <c r="R34" s="27"/>
      <c r="S34" s="27"/>
      <c r="T34" s="27"/>
      <c r="U34" s="27"/>
      <c r="V34" s="27"/>
      <c r="W34" s="27"/>
      <c r="X34" s="27"/>
      <c r="Y34" s="27"/>
      <c r="Z34" s="27"/>
      <c r="AA34" s="27"/>
    </row>
    <row r="35" spans="1:27" ht="15.75" x14ac:dyDescent="0.25">
      <c r="A35" s="41" t="str">
        <f xml:space="preserve"> "Scottish Borders " &amp;$B$7</f>
        <v>Scottish Borders All time</v>
      </c>
      <c r="B35" s="135">
        <f>VLOOKUP($A35, 'Table 6 - Full data'!$A$2:$M$181,2,FALSE)</f>
        <v>5175</v>
      </c>
      <c r="C35" s="111">
        <f>VLOOKUP($A35, 'Table 6 - Full data'!$A$2:$M$181,3,FALSE)</f>
        <v>0.02</v>
      </c>
      <c r="D35" s="134">
        <f>VLOOKUP($A35, 'Table 6 - Full data'!$A$2:$M$181,4,FALSE)</f>
        <v>1680</v>
      </c>
      <c r="E35" s="134">
        <f>VLOOKUP($A35, 'Table 6 - Full data'!$A$2:$M$181,5,FALSE)</f>
        <v>1715</v>
      </c>
      <c r="F35" s="134">
        <f>VLOOKUP($A35, 'Table 6 - Full data'!$A$2:$M$181,6,FALSE)</f>
        <v>1460</v>
      </c>
      <c r="G35" s="134">
        <f>VLOOKUP($A35, 'Table 6 - Full data'!$A$2:$M$181,7,FALSE)</f>
        <v>2680</v>
      </c>
      <c r="H35" s="134">
        <f>VLOOKUP($A35, 'Table 6 - Full data'!$A$2:$M$181,8,FALSE)</f>
        <v>505</v>
      </c>
      <c r="I35" s="111">
        <f>VLOOKUP($A35, 'Table 6 - Full data'!$A$2:$M$181,9,FALSE)</f>
        <v>0.32</v>
      </c>
      <c r="J35" s="111">
        <f>VLOOKUP($A35, 'Table 6 - Full data'!$A$2:$M$181,10,FALSE)</f>
        <v>0.33</v>
      </c>
      <c r="K35" s="111">
        <f>VLOOKUP($A35, 'Table 6 - Full data'!$A$2:$M$181,11,FALSE)</f>
        <v>0.28000000000000003</v>
      </c>
      <c r="L35" s="111">
        <f>VLOOKUP($A35, 'Table 6 - Full data'!$A$2:$M$181,12,FALSE)</f>
        <v>0.52</v>
      </c>
      <c r="M35" s="111">
        <f>VLOOKUP($A35, 'Table 6 - Full data'!$A$2:$M$181,13,FALSE)</f>
        <v>0.1</v>
      </c>
      <c r="N35" s="27"/>
      <c r="O35" s="27"/>
      <c r="P35" s="27"/>
      <c r="Q35" s="27"/>
      <c r="R35" s="27"/>
      <c r="S35" s="27"/>
      <c r="T35" s="27"/>
      <c r="U35" s="27"/>
      <c r="V35" s="27"/>
      <c r="W35" s="27"/>
      <c r="X35" s="27"/>
      <c r="Y35" s="27"/>
      <c r="Z35" s="27"/>
      <c r="AA35" s="27"/>
    </row>
    <row r="36" spans="1:27" ht="15.75" x14ac:dyDescent="0.25">
      <c r="A36" s="41" t="str">
        <f xml:space="preserve"> "Shetland Islands " &amp;$B$7</f>
        <v>Shetland Islands All time</v>
      </c>
      <c r="B36" s="135">
        <f>VLOOKUP($A36, 'Table 6 - Full data'!$A$2:$M$181,2,FALSE)</f>
        <v>635</v>
      </c>
      <c r="C36" s="111">
        <f>VLOOKUP($A36, 'Table 6 - Full data'!$A$2:$M$181,3,FALSE)</f>
        <v>0</v>
      </c>
      <c r="D36" s="134">
        <f>VLOOKUP($A36, 'Table 6 - Full data'!$A$2:$M$181,4,FALSE)</f>
        <v>205</v>
      </c>
      <c r="E36" s="134">
        <f>VLOOKUP($A36, 'Table 6 - Full data'!$A$2:$M$181,5,FALSE)</f>
        <v>235</v>
      </c>
      <c r="F36" s="134">
        <f>VLOOKUP($A36, 'Table 6 - Full data'!$A$2:$M$181,6,FALSE)</f>
        <v>170</v>
      </c>
      <c r="G36" s="134">
        <f>VLOOKUP($A36, 'Table 6 - Full data'!$A$2:$M$181,7,FALSE)</f>
        <v>340</v>
      </c>
      <c r="H36" s="134">
        <f>VLOOKUP($A36, 'Table 6 - Full data'!$A$2:$M$181,8,FALSE)</f>
        <v>55</v>
      </c>
      <c r="I36" s="111">
        <f>VLOOKUP($A36, 'Table 6 - Full data'!$A$2:$M$181,9,FALSE)</f>
        <v>0.32</v>
      </c>
      <c r="J36" s="111">
        <f>VLOOKUP($A36, 'Table 6 - Full data'!$A$2:$M$181,10,FALSE)</f>
        <v>0.37</v>
      </c>
      <c r="K36" s="111">
        <f>VLOOKUP($A36, 'Table 6 - Full data'!$A$2:$M$181,11,FALSE)</f>
        <v>0.27</v>
      </c>
      <c r="L36" s="111">
        <f>VLOOKUP($A36, 'Table 6 - Full data'!$A$2:$M$181,12,FALSE)</f>
        <v>0.54</v>
      </c>
      <c r="M36" s="111">
        <f>VLOOKUP($A36, 'Table 6 - Full data'!$A$2:$M$181,13,FALSE)</f>
        <v>0.09</v>
      </c>
      <c r="N36" s="27"/>
      <c r="O36" s="27"/>
      <c r="P36" s="27"/>
      <c r="Q36" s="27"/>
      <c r="R36" s="27"/>
      <c r="S36" s="27"/>
      <c r="T36" s="27"/>
      <c r="U36" s="27"/>
      <c r="V36" s="27"/>
      <c r="W36" s="27"/>
      <c r="X36" s="27"/>
      <c r="Y36" s="27"/>
      <c r="Z36" s="27"/>
      <c r="AA36" s="27"/>
    </row>
    <row r="37" spans="1:27" ht="15.75" x14ac:dyDescent="0.25">
      <c r="A37" s="41" t="str">
        <f xml:space="preserve"> "South Ayrshire " &amp;$B$7</f>
        <v>South Ayrshire All time</v>
      </c>
      <c r="B37" s="135">
        <f>VLOOKUP($A37, 'Table 6 - Full data'!$A$2:$M$181,2,FALSE)</f>
        <v>6205</v>
      </c>
      <c r="C37" s="111">
        <f>VLOOKUP($A37, 'Table 6 - Full data'!$A$2:$M$181,3,FALSE)</f>
        <v>0.02</v>
      </c>
      <c r="D37" s="134">
        <f>VLOOKUP($A37, 'Table 6 - Full data'!$A$2:$M$181,4,FALSE)</f>
        <v>1990</v>
      </c>
      <c r="E37" s="134">
        <f>VLOOKUP($A37, 'Table 6 - Full data'!$A$2:$M$181,5,FALSE)</f>
        <v>2010</v>
      </c>
      <c r="F37" s="134">
        <f>VLOOKUP($A37, 'Table 6 - Full data'!$A$2:$M$181,6,FALSE)</f>
        <v>1655</v>
      </c>
      <c r="G37" s="134">
        <f>VLOOKUP($A37, 'Table 6 - Full data'!$A$2:$M$181,7,FALSE)</f>
        <v>3200</v>
      </c>
      <c r="H37" s="134">
        <f>VLOOKUP($A37, 'Table 6 - Full data'!$A$2:$M$181,8,FALSE)</f>
        <v>710</v>
      </c>
      <c r="I37" s="111">
        <f>VLOOKUP($A37, 'Table 6 - Full data'!$A$2:$M$181,9,FALSE)</f>
        <v>0.32</v>
      </c>
      <c r="J37" s="111">
        <f>VLOOKUP($A37, 'Table 6 - Full data'!$A$2:$M$181,10,FALSE)</f>
        <v>0.32</v>
      </c>
      <c r="K37" s="111">
        <f>VLOOKUP($A37, 'Table 6 - Full data'!$A$2:$M$181,11,FALSE)</f>
        <v>0.27</v>
      </c>
      <c r="L37" s="111">
        <f>VLOOKUP($A37, 'Table 6 - Full data'!$A$2:$M$181,12,FALSE)</f>
        <v>0.52</v>
      </c>
      <c r="M37" s="111">
        <f>VLOOKUP($A37, 'Table 6 - Full data'!$A$2:$M$181,13,FALSE)</f>
        <v>0.11</v>
      </c>
      <c r="N37" s="27"/>
      <c r="O37" s="27"/>
      <c r="P37" s="27"/>
      <c r="Q37" s="27"/>
      <c r="R37" s="27"/>
      <c r="S37" s="27"/>
      <c r="T37" s="27"/>
      <c r="U37" s="27"/>
      <c r="V37" s="27"/>
      <c r="W37" s="27"/>
      <c r="X37" s="27"/>
      <c r="Y37" s="27"/>
      <c r="Z37" s="27"/>
      <c r="AA37" s="27"/>
    </row>
    <row r="38" spans="1:27" ht="15.75" x14ac:dyDescent="0.25">
      <c r="A38" s="41" t="str">
        <f xml:space="preserve"> "South Lanarkshire " &amp;$B$7</f>
        <v>South Lanarkshire All time</v>
      </c>
      <c r="B38" s="135">
        <f>VLOOKUP($A38, 'Table 6 - Full data'!$A$2:$M$181,2,FALSE)</f>
        <v>18795</v>
      </c>
      <c r="C38" s="111">
        <f>VLOOKUP($A38, 'Table 6 - Full data'!$A$2:$M$181,3,FALSE)</f>
        <v>0.06</v>
      </c>
      <c r="D38" s="134">
        <f>VLOOKUP($A38, 'Table 6 - Full data'!$A$2:$M$181,4,FALSE)</f>
        <v>6455</v>
      </c>
      <c r="E38" s="134">
        <f>VLOOKUP($A38, 'Table 6 - Full data'!$A$2:$M$181,5,FALSE)</f>
        <v>6105</v>
      </c>
      <c r="F38" s="134">
        <f>VLOOKUP($A38, 'Table 6 - Full data'!$A$2:$M$181,6,FALSE)</f>
        <v>4665</v>
      </c>
      <c r="G38" s="134">
        <f>VLOOKUP($A38, 'Table 6 - Full data'!$A$2:$M$181,7,FALSE)</f>
        <v>9875</v>
      </c>
      <c r="H38" s="134">
        <f>VLOOKUP($A38, 'Table 6 - Full data'!$A$2:$M$181,8,FALSE)</f>
        <v>2010</v>
      </c>
      <c r="I38" s="111">
        <f>VLOOKUP($A38, 'Table 6 - Full data'!$A$2:$M$181,9,FALSE)</f>
        <v>0.34</v>
      </c>
      <c r="J38" s="111">
        <f>VLOOKUP($A38, 'Table 6 - Full data'!$A$2:$M$181,10,FALSE)</f>
        <v>0.32</v>
      </c>
      <c r="K38" s="111">
        <f>VLOOKUP($A38, 'Table 6 - Full data'!$A$2:$M$181,11,FALSE)</f>
        <v>0.25</v>
      </c>
      <c r="L38" s="111">
        <f>VLOOKUP($A38, 'Table 6 - Full data'!$A$2:$M$181,12,FALSE)</f>
        <v>0.53</v>
      </c>
      <c r="M38" s="111">
        <f>VLOOKUP($A38, 'Table 6 - Full data'!$A$2:$M$181,13,FALSE)</f>
        <v>0.11</v>
      </c>
      <c r="N38" s="27"/>
      <c r="O38" s="27"/>
      <c r="P38" s="27"/>
      <c r="Q38" s="27"/>
      <c r="R38" s="27"/>
      <c r="S38" s="27"/>
      <c r="T38" s="27"/>
      <c r="U38" s="27"/>
      <c r="V38" s="27"/>
      <c r="W38" s="27"/>
      <c r="X38" s="27"/>
      <c r="Y38" s="27"/>
      <c r="Z38" s="27"/>
      <c r="AA38" s="27"/>
    </row>
    <row r="39" spans="1:27" ht="15.75" x14ac:dyDescent="0.25">
      <c r="A39" s="41" t="str">
        <f xml:space="preserve"> "Stirling " &amp;$B$7</f>
        <v>Stirling All time</v>
      </c>
      <c r="B39" s="135">
        <f>VLOOKUP($A39, 'Table 6 - Full data'!$A$2:$M$181,2,FALSE)</f>
        <v>3540</v>
      </c>
      <c r="C39" s="111">
        <f>VLOOKUP($A39, 'Table 6 - Full data'!$A$2:$M$181,3,FALSE)</f>
        <v>0.01</v>
      </c>
      <c r="D39" s="134">
        <f>VLOOKUP($A39, 'Table 6 - Full data'!$A$2:$M$181,4,FALSE)</f>
        <v>1210</v>
      </c>
      <c r="E39" s="134">
        <f>VLOOKUP($A39, 'Table 6 - Full data'!$A$2:$M$181,5,FALSE)</f>
        <v>1190</v>
      </c>
      <c r="F39" s="134">
        <f>VLOOKUP($A39, 'Table 6 - Full data'!$A$2:$M$181,6,FALSE)</f>
        <v>850</v>
      </c>
      <c r="G39" s="134">
        <f>VLOOKUP($A39, 'Table 6 - Full data'!$A$2:$M$181,7,FALSE)</f>
        <v>1940</v>
      </c>
      <c r="H39" s="134">
        <f>VLOOKUP($A39, 'Table 6 - Full data'!$A$2:$M$181,8,FALSE)</f>
        <v>365</v>
      </c>
      <c r="I39" s="111">
        <f>VLOOKUP($A39, 'Table 6 - Full data'!$A$2:$M$181,9,FALSE)</f>
        <v>0.34</v>
      </c>
      <c r="J39" s="111">
        <f>VLOOKUP($A39, 'Table 6 - Full data'!$A$2:$M$181,10,FALSE)</f>
        <v>0.34</v>
      </c>
      <c r="K39" s="111">
        <f>VLOOKUP($A39, 'Table 6 - Full data'!$A$2:$M$181,11,FALSE)</f>
        <v>0.24</v>
      </c>
      <c r="L39" s="111">
        <f>VLOOKUP($A39, 'Table 6 - Full data'!$A$2:$M$181,12,FALSE)</f>
        <v>0.55000000000000004</v>
      </c>
      <c r="M39" s="111">
        <f>VLOOKUP($A39, 'Table 6 - Full data'!$A$2:$M$181,13,FALSE)</f>
        <v>0.1</v>
      </c>
      <c r="N39" s="27"/>
      <c r="O39" s="27"/>
      <c r="P39" s="27"/>
      <c r="Q39" s="27"/>
      <c r="R39" s="27"/>
      <c r="S39" s="27"/>
      <c r="T39" s="27"/>
      <c r="U39" s="27"/>
      <c r="V39" s="27"/>
      <c r="W39" s="27"/>
      <c r="X39" s="27"/>
      <c r="Y39" s="27"/>
      <c r="Z39" s="27"/>
      <c r="AA39" s="27"/>
    </row>
    <row r="40" spans="1:27" ht="15.75" x14ac:dyDescent="0.25">
      <c r="A40" s="41" t="str">
        <f xml:space="preserve"> "West Dunbartonshire " &amp;$B$7</f>
        <v>West Dunbartonshire All time</v>
      </c>
      <c r="B40" s="135">
        <f>VLOOKUP($A40, 'Table 6 - Full data'!$A$2:$M$181,2,FALSE)</f>
        <v>7655</v>
      </c>
      <c r="C40" s="111">
        <f>VLOOKUP($A40, 'Table 6 - Full data'!$A$2:$M$181,3,FALSE)</f>
        <v>0.02</v>
      </c>
      <c r="D40" s="134">
        <f>VLOOKUP($A40, 'Table 6 - Full data'!$A$2:$M$181,4,FALSE)</f>
        <v>2410</v>
      </c>
      <c r="E40" s="134">
        <f>VLOOKUP($A40, 'Table 6 - Full data'!$A$2:$M$181,5,FALSE)</f>
        <v>2410</v>
      </c>
      <c r="F40" s="134">
        <f>VLOOKUP($A40, 'Table 6 - Full data'!$A$2:$M$181,6,FALSE)</f>
        <v>1930</v>
      </c>
      <c r="G40" s="134">
        <f>VLOOKUP($A40, 'Table 6 - Full data'!$A$2:$M$181,7,FALSE)</f>
        <v>3890</v>
      </c>
      <c r="H40" s="134">
        <f>VLOOKUP($A40, 'Table 6 - Full data'!$A$2:$M$181,8,FALSE)</f>
        <v>925</v>
      </c>
      <c r="I40" s="111">
        <f>VLOOKUP($A40, 'Table 6 - Full data'!$A$2:$M$181,9,FALSE)</f>
        <v>0.31</v>
      </c>
      <c r="J40" s="111">
        <f>VLOOKUP($A40, 'Table 6 - Full data'!$A$2:$M$181,10,FALSE)</f>
        <v>0.31</v>
      </c>
      <c r="K40" s="111">
        <f>VLOOKUP($A40, 'Table 6 - Full data'!$A$2:$M$181,11,FALSE)</f>
        <v>0.25</v>
      </c>
      <c r="L40" s="111">
        <f>VLOOKUP($A40, 'Table 6 - Full data'!$A$2:$M$181,12,FALSE)</f>
        <v>0.51</v>
      </c>
      <c r="M40" s="111">
        <f>VLOOKUP($A40, 'Table 6 - Full data'!$A$2:$M$181,13,FALSE)</f>
        <v>0.12</v>
      </c>
      <c r="N40" s="27"/>
      <c r="O40" s="27"/>
      <c r="P40" s="27"/>
      <c r="Q40" s="27"/>
      <c r="R40" s="27"/>
      <c r="S40" s="27"/>
      <c r="T40" s="27"/>
      <c r="U40" s="27"/>
      <c r="V40" s="27"/>
      <c r="W40" s="27"/>
      <c r="X40" s="27"/>
      <c r="Y40" s="27"/>
      <c r="Z40" s="27"/>
      <c r="AA40" s="27"/>
    </row>
    <row r="41" spans="1:27" ht="15.75" x14ac:dyDescent="0.25">
      <c r="A41" s="41" t="str">
        <f xml:space="preserve"> "West Lothian " &amp;$B$7</f>
        <v>West Lothian All time</v>
      </c>
      <c r="B41" s="135">
        <f>VLOOKUP($A41, 'Table 6 - Full data'!$A$2:$M$181,2,FALSE)</f>
        <v>12180</v>
      </c>
      <c r="C41" s="111">
        <f>VLOOKUP($A41, 'Table 6 - Full data'!$A$2:$M$181,3,FALSE)</f>
        <v>0.04</v>
      </c>
      <c r="D41" s="134">
        <f>VLOOKUP($A41, 'Table 6 - Full data'!$A$2:$M$181,4,FALSE)</f>
        <v>3745</v>
      </c>
      <c r="E41" s="134">
        <f>VLOOKUP($A41, 'Table 6 - Full data'!$A$2:$M$181,5,FALSE)</f>
        <v>3955</v>
      </c>
      <c r="F41" s="134">
        <f>VLOOKUP($A41, 'Table 6 - Full data'!$A$2:$M$181,6,FALSE)</f>
        <v>3285</v>
      </c>
      <c r="G41" s="134">
        <f>VLOOKUP($A41, 'Table 6 - Full data'!$A$2:$M$181,7,FALSE)</f>
        <v>6160</v>
      </c>
      <c r="H41" s="134">
        <f>VLOOKUP($A41, 'Table 6 - Full data'!$A$2:$M$181,8,FALSE)</f>
        <v>1340</v>
      </c>
      <c r="I41" s="111">
        <f>VLOOKUP($A41, 'Table 6 - Full data'!$A$2:$M$181,9,FALSE)</f>
        <v>0.31</v>
      </c>
      <c r="J41" s="111">
        <f>VLOOKUP($A41, 'Table 6 - Full data'!$A$2:$M$181,10,FALSE)</f>
        <v>0.32</v>
      </c>
      <c r="K41" s="111">
        <f>VLOOKUP($A41, 'Table 6 - Full data'!$A$2:$M$181,11,FALSE)</f>
        <v>0.27</v>
      </c>
      <c r="L41" s="111">
        <f>VLOOKUP($A41, 'Table 6 - Full data'!$A$2:$M$181,12,FALSE)</f>
        <v>0.51</v>
      </c>
      <c r="M41" s="111">
        <f>VLOOKUP($A41, 'Table 6 - Full data'!$A$2:$M$181,13,FALSE)</f>
        <v>0.11</v>
      </c>
      <c r="N41" s="27"/>
      <c r="O41" s="27"/>
      <c r="P41" s="27"/>
      <c r="Q41" s="27"/>
      <c r="R41" s="27"/>
      <c r="S41" s="27"/>
      <c r="T41" s="27"/>
      <c r="U41" s="27"/>
      <c r="V41" s="27"/>
      <c r="W41" s="27"/>
      <c r="X41" s="27"/>
      <c r="Y41" s="27"/>
      <c r="Z41" s="27"/>
      <c r="AA41" s="27"/>
    </row>
    <row r="42" spans="1:27" ht="15.75" x14ac:dyDescent="0.25">
      <c r="A42" s="153" t="str">
        <f xml:space="preserve"> "Unknown - Scottish address " &amp;$B$7</f>
        <v>Unknown - Scottish address All time</v>
      </c>
      <c r="B42" s="135">
        <f>VLOOKUP($A42, 'Table 6 - Full data'!$A$2:$M$181,2,FALSE)</f>
        <v>650</v>
      </c>
      <c r="C42" s="111">
        <f>VLOOKUP($A42, 'Table 6 - Full data'!$A$2:$M$181,3,FALSE)</f>
        <v>0</v>
      </c>
      <c r="D42" s="134">
        <f>VLOOKUP($A42, 'Table 6 - Full data'!$A$2:$M$181,4,FALSE)</f>
        <v>275</v>
      </c>
      <c r="E42" s="134">
        <f>VLOOKUP($A42, 'Table 6 - Full data'!$A$2:$M$181,5,FALSE)</f>
        <v>240</v>
      </c>
      <c r="F42" s="134">
        <f>VLOOKUP($A42, 'Table 6 - Full data'!$A$2:$M$181,6,FALSE)</f>
        <v>95</v>
      </c>
      <c r="G42" s="134">
        <f>VLOOKUP($A42, 'Table 6 - Full data'!$A$2:$M$181,7,FALSE)</f>
        <v>420</v>
      </c>
      <c r="H42" s="134">
        <f>VLOOKUP($A42, 'Table 6 - Full data'!$A$2:$M$181,8,FALSE)</f>
        <v>45</v>
      </c>
      <c r="I42" s="111">
        <f>VLOOKUP($A42, 'Table 6 - Full data'!$A$2:$M$181,9,FALSE)</f>
        <v>0.42</v>
      </c>
      <c r="J42" s="111">
        <f>VLOOKUP($A42, 'Table 6 - Full data'!$A$2:$M$181,10,FALSE)</f>
        <v>0.37</v>
      </c>
      <c r="K42" s="111">
        <f>VLOOKUP($A42, 'Table 6 - Full data'!$A$2:$M$181,11,FALSE)</f>
        <v>0.15</v>
      </c>
      <c r="L42" s="111">
        <f>VLOOKUP($A42, 'Table 6 - Full data'!$A$2:$M$181,12,FALSE)</f>
        <v>0.65</v>
      </c>
      <c r="M42" s="111">
        <f>VLOOKUP($A42, 'Table 6 - Full data'!$A$2:$M$181,13,FALSE)</f>
        <v>7.0000000000000007E-2</v>
      </c>
      <c r="N42" s="27"/>
      <c r="O42" s="27"/>
      <c r="P42" s="27"/>
      <c r="Q42" s="27"/>
      <c r="R42" s="27"/>
      <c r="S42" s="27"/>
      <c r="T42" s="27"/>
      <c r="U42" s="27"/>
      <c r="V42" s="27"/>
      <c r="W42" s="27"/>
      <c r="X42" s="27"/>
      <c r="Y42" s="27"/>
      <c r="Z42" s="27"/>
      <c r="AA42" s="27"/>
    </row>
    <row r="43" spans="1:27" s="15" customFormat="1" ht="14.45" customHeight="1" x14ac:dyDescent="0.25">
      <c r="A43" s="153" t="str">
        <f xml:space="preserve"> "Non-Scottish postcode " &amp;$B$7</f>
        <v>Non-Scottish postcode All time</v>
      </c>
      <c r="B43" s="135">
        <f>VLOOKUP($A43, 'Table 6 - Full data'!$A$2:$M$181,2,FALSE)</f>
        <v>10530</v>
      </c>
      <c r="C43" s="111">
        <f>VLOOKUP($A43, 'Table 6 - Full data'!$A$2:$M$181,3,FALSE)</f>
        <v>0.03</v>
      </c>
      <c r="D43" s="134">
        <f>VLOOKUP($A43, 'Table 6 - Full data'!$A$2:$M$181,4,FALSE)</f>
        <v>6890</v>
      </c>
      <c r="E43" s="134">
        <f>VLOOKUP($A43, 'Table 6 - Full data'!$A$2:$M$181,5,FALSE)</f>
        <v>2115</v>
      </c>
      <c r="F43" s="134">
        <f>VLOOKUP($A43, 'Table 6 - Full data'!$A$2:$M$181,6,FALSE)</f>
        <v>765</v>
      </c>
      <c r="G43" s="134">
        <f>VLOOKUP($A43, 'Table 6 - Full data'!$A$2:$M$181,7,FALSE)</f>
        <v>5510</v>
      </c>
      <c r="H43" s="134">
        <f>VLOOKUP($A43, 'Table 6 - Full data'!$A$2:$M$181,8,FALSE)</f>
        <v>775</v>
      </c>
      <c r="I43" s="111">
        <f>VLOOKUP($A43, 'Table 6 - Full data'!$A$2:$M$181,9,FALSE)</f>
        <v>0.65</v>
      </c>
      <c r="J43" s="111">
        <f>VLOOKUP($A43, 'Table 6 - Full data'!$A$2:$M$181,10,FALSE)</f>
        <v>0.2</v>
      </c>
      <c r="K43" s="111">
        <f>VLOOKUP($A43, 'Table 6 - Full data'!$A$2:$M$181,11,FALSE)</f>
        <v>7.0000000000000007E-2</v>
      </c>
      <c r="L43" s="111">
        <f>VLOOKUP($A43, 'Table 6 - Full data'!$A$2:$M$181,12,FALSE)</f>
        <v>0.52</v>
      </c>
      <c r="M43" s="111">
        <f>VLOOKUP($A43, 'Table 6 - Full data'!$A$2:$M$181,13,FALSE)</f>
        <v>7.0000000000000007E-2</v>
      </c>
      <c r="N43" s="56"/>
      <c r="O43" s="56"/>
      <c r="P43" s="56"/>
      <c r="Q43" s="56"/>
      <c r="R43" s="56"/>
      <c r="S43" s="56"/>
      <c r="T43" s="56"/>
      <c r="U43" s="56"/>
      <c r="V43" s="56"/>
      <c r="W43" s="56"/>
      <c r="X43" s="56"/>
      <c r="Y43" s="56"/>
      <c r="Z43" s="56"/>
      <c r="AA43" s="56"/>
    </row>
    <row r="44" spans="1:27" s="15" customFormat="1" ht="14.45" customHeight="1" x14ac:dyDescent="0.25">
      <c r="A44" s="153" t="str">
        <f xml:space="preserve"> "No address " &amp;$B$7</f>
        <v>No address All time</v>
      </c>
      <c r="B44" s="135">
        <f>VLOOKUP($A44, 'Table 6 - Full data'!$A$2:$M$181,2,FALSE)</f>
        <v>555</v>
      </c>
      <c r="C44" s="111">
        <f>VLOOKUP($A44, 'Table 6 - Full data'!$A$2:$M$181,3,FALSE)</f>
        <v>0</v>
      </c>
      <c r="D44" s="134">
        <f>VLOOKUP($A44, 'Table 6 - Full data'!$A$2:$M$181,4,FALSE)</f>
        <v>225</v>
      </c>
      <c r="E44" s="134">
        <f>VLOOKUP($A44, 'Table 6 - Full data'!$A$2:$M$181,5,FALSE)</f>
        <v>140</v>
      </c>
      <c r="F44" s="134">
        <f>VLOOKUP($A44, 'Table 6 - Full data'!$A$2:$M$181,6,FALSE)</f>
        <v>100</v>
      </c>
      <c r="G44" s="134">
        <f>VLOOKUP($A44, 'Table 6 - Full data'!$A$2:$M$181,7,FALSE)</f>
        <v>300</v>
      </c>
      <c r="H44" s="134">
        <f>VLOOKUP($A44, 'Table 6 - Full data'!$A$2:$M$181,8,FALSE)</f>
        <v>85</v>
      </c>
      <c r="I44" s="111">
        <f>VLOOKUP($A44, 'Table 6 - Full data'!$A$2:$M$181,9,FALSE)</f>
        <v>0.4</v>
      </c>
      <c r="J44" s="111">
        <f>VLOOKUP($A44, 'Table 6 - Full data'!$A$2:$M$181,10,FALSE)</f>
        <v>0.25</v>
      </c>
      <c r="K44" s="111">
        <f>VLOOKUP($A44, 'Table 6 - Full data'!$A$2:$M$181,11,FALSE)</f>
        <v>0.18</v>
      </c>
      <c r="L44" s="111">
        <f>VLOOKUP($A44, 'Table 6 - Full data'!$A$2:$M$181,12,FALSE)</f>
        <v>0.54</v>
      </c>
      <c r="M44" s="111">
        <f>VLOOKUP($A44, 'Table 6 - Full data'!$A$2:$M$181,13,FALSE)</f>
        <v>0.15</v>
      </c>
      <c r="N44" s="56"/>
      <c r="O44" s="56"/>
      <c r="P44" s="56"/>
      <c r="Q44" s="56"/>
      <c r="R44" s="56"/>
      <c r="S44" s="56"/>
      <c r="T44" s="56"/>
      <c r="U44" s="56"/>
      <c r="V44" s="56"/>
      <c r="W44" s="56"/>
      <c r="X44" s="56"/>
      <c r="Y44" s="56"/>
      <c r="Z44" s="56"/>
      <c r="AA44" s="56"/>
    </row>
    <row r="45" spans="1:27" s="15" customFormat="1" ht="15.75" x14ac:dyDescent="0.25">
      <c r="A45" s="64" t="s">
        <v>8</v>
      </c>
      <c r="B45" s="65"/>
      <c r="C45" s="64"/>
      <c r="D45" s="64"/>
      <c r="E45" s="64"/>
      <c r="F45" s="64"/>
      <c r="G45" s="64"/>
      <c r="H45" s="66"/>
      <c r="I45" s="64"/>
      <c r="J45" s="64"/>
      <c r="K45" s="56"/>
      <c r="L45" s="56"/>
      <c r="M45" s="56"/>
      <c r="N45" s="56"/>
      <c r="O45" s="56"/>
      <c r="P45" s="56"/>
      <c r="Q45" s="56"/>
      <c r="R45" s="56"/>
      <c r="S45" s="56"/>
      <c r="T45" s="56"/>
      <c r="U45" s="56"/>
      <c r="V45" s="56"/>
      <c r="W45" s="56"/>
      <c r="X45" s="56"/>
      <c r="Y45" s="56"/>
      <c r="Z45" s="56"/>
      <c r="AA45" s="56"/>
    </row>
    <row r="46" spans="1:27" s="15" customFormat="1" ht="17.45" customHeight="1" x14ac:dyDescent="0.25">
      <c r="A46" s="64" t="s">
        <v>64</v>
      </c>
      <c r="B46" s="64"/>
      <c r="C46" s="64"/>
      <c r="D46" s="64"/>
      <c r="E46" s="64"/>
      <c r="F46" s="64"/>
      <c r="G46" s="64"/>
      <c r="H46" s="64"/>
      <c r="I46" s="64"/>
      <c r="J46" s="64"/>
      <c r="K46" s="56"/>
      <c r="L46" s="56"/>
      <c r="M46" s="56"/>
      <c r="N46" s="56"/>
      <c r="O46" s="56"/>
      <c r="P46" s="56"/>
      <c r="Q46" s="56"/>
      <c r="R46" s="56"/>
      <c r="S46" s="56"/>
      <c r="T46" s="56"/>
      <c r="U46" s="56"/>
      <c r="V46" s="56"/>
      <c r="W46" s="56"/>
      <c r="X46" s="56"/>
      <c r="Y46" s="56"/>
      <c r="Z46" s="56"/>
      <c r="AA46" s="56"/>
    </row>
    <row r="47" spans="1:27" s="22" customFormat="1" ht="15.75" x14ac:dyDescent="0.25">
      <c r="A47" s="45" t="s">
        <v>586</v>
      </c>
      <c r="B47" s="45"/>
      <c r="C47" s="45"/>
      <c r="D47" s="45"/>
      <c r="E47" s="45"/>
      <c r="F47" s="45"/>
      <c r="G47" s="45"/>
      <c r="H47" s="45"/>
      <c r="I47" s="45"/>
      <c r="J47" s="45"/>
      <c r="K47" s="45"/>
      <c r="L47" s="45"/>
      <c r="M47" s="11"/>
    </row>
    <row r="48" spans="1:27" s="22" customFormat="1" ht="15.75" x14ac:dyDescent="0.25">
      <c r="A48" s="45" t="s">
        <v>587</v>
      </c>
      <c r="B48" s="45"/>
      <c r="C48" s="45"/>
      <c r="D48" s="45"/>
      <c r="E48" s="45"/>
      <c r="F48" s="45"/>
      <c r="G48" s="45"/>
      <c r="H48" s="45"/>
      <c r="I48" s="45"/>
      <c r="J48" s="45"/>
      <c r="K48" s="45"/>
      <c r="L48" s="45"/>
      <c r="M48" s="11"/>
    </row>
    <row r="49" spans="1:27" s="22" customFormat="1" ht="15.75" x14ac:dyDescent="0.25">
      <c r="A49" s="46" t="s">
        <v>600</v>
      </c>
      <c r="B49" s="45"/>
      <c r="C49" s="45"/>
      <c r="D49" s="45"/>
      <c r="E49" s="45"/>
      <c r="F49" s="45"/>
      <c r="G49" s="45"/>
      <c r="H49" s="45"/>
      <c r="I49" s="45"/>
      <c r="J49" s="45"/>
      <c r="K49" s="45"/>
      <c r="L49" s="45"/>
      <c r="M49" s="11"/>
    </row>
    <row r="50" spans="1:27" s="22" customFormat="1" ht="15.75" x14ac:dyDescent="0.25">
      <c r="A50" s="200" t="s">
        <v>753</v>
      </c>
      <c r="B50" s="45"/>
      <c r="C50" s="45"/>
      <c r="D50" s="45"/>
      <c r="E50" s="45"/>
      <c r="F50" s="45"/>
      <c r="G50" s="45"/>
      <c r="H50" s="45"/>
      <c r="I50" s="45"/>
      <c r="J50" s="45"/>
      <c r="K50" s="45"/>
      <c r="L50" s="45"/>
      <c r="M50" s="11"/>
    </row>
    <row r="51" spans="1:27" s="15" customFormat="1" ht="134.25" customHeight="1" x14ac:dyDescent="0.25">
      <c r="A51" s="29" t="s">
        <v>609</v>
      </c>
      <c r="B51" s="27"/>
      <c r="C51" s="27"/>
      <c r="D51" s="27"/>
      <c r="E51" s="27"/>
      <c r="F51" s="27"/>
      <c r="G51" s="27"/>
      <c r="H51" s="27"/>
      <c r="I51" s="27"/>
      <c r="J51" s="27"/>
      <c r="K51" s="27"/>
      <c r="L51" s="27"/>
      <c r="M51" s="27"/>
      <c r="N51" s="56"/>
      <c r="O51" s="56"/>
      <c r="P51" s="56"/>
      <c r="Q51" s="56"/>
      <c r="R51" s="56"/>
      <c r="S51" s="56"/>
      <c r="T51" s="56"/>
      <c r="U51" s="56"/>
      <c r="V51" s="56"/>
      <c r="W51" s="56"/>
      <c r="X51" s="56"/>
      <c r="Y51" s="56"/>
      <c r="Z51" s="56"/>
      <c r="AA51" s="56"/>
    </row>
    <row r="52" spans="1:27" ht="133.5" customHeight="1" x14ac:dyDescent="0.25">
      <c r="A52" s="29" t="s">
        <v>616</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7" ht="15.75" x14ac:dyDescent="0.25">
      <c r="A53" s="37" t="s">
        <v>611</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row>
    <row r="54" spans="1:27" ht="15.75" x14ac:dyDescent="0.25">
      <c r="A54" s="37" t="s">
        <v>612</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row>
    <row r="55" spans="1:27" s="15" customFormat="1" ht="15.75" x14ac:dyDescent="0.25">
      <c r="A55" s="46" t="s">
        <v>617</v>
      </c>
      <c r="B55" s="27"/>
      <c r="C55" s="27"/>
      <c r="D55" s="27"/>
      <c r="E55" s="27"/>
      <c r="F55" s="27"/>
      <c r="G55" s="27"/>
      <c r="H55" s="27"/>
      <c r="I55" s="27"/>
      <c r="J55" s="27"/>
      <c r="K55" s="27"/>
      <c r="L55" s="27"/>
      <c r="M55" s="27"/>
      <c r="N55" s="56"/>
      <c r="O55" s="56"/>
      <c r="P55" s="56"/>
      <c r="Q55" s="56"/>
      <c r="R55" s="56"/>
      <c r="S55" s="56"/>
      <c r="T55" s="56"/>
      <c r="U55" s="56"/>
      <c r="V55" s="56"/>
      <c r="W55" s="56"/>
      <c r="X55" s="56"/>
      <c r="Y55" s="56"/>
      <c r="Z55" s="56"/>
      <c r="AA55" s="56"/>
    </row>
    <row r="56" spans="1:27" s="15" customFormat="1" ht="15.75" x14ac:dyDescent="0.25">
      <c r="A56" s="45" t="s">
        <v>629</v>
      </c>
      <c r="B56" s="27"/>
      <c r="C56" s="27"/>
      <c r="D56" s="27"/>
      <c r="E56" s="27"/>
      <c r="F56" s="27"/>
      <c r="G56" s="27"/>
      <c r="H56" s="27"/>
      <c r="I56" s="27"/>
      <c r="J56" s="27"/>
      <c r="K56" s="27"/>
      <c r="L56" s="27"/>
      <c r="M56" s="27"/>
      <c r="N56" s="56"/>
      <c r="O56" s="56"/>
      <c r="P56" s="56"/>
      <c r="Q56" s="56"/>
      <c r="R56" s="56"/>
      <c r="S56" s="56"/>
      <c r="T56" s="56"/>
      <c r="U56" s="56"/>
      <c r="V56" s="56"/>
      <c r="W56" s="56"/>
      <c r="X56" s="56"/>
      <c r="Y56" s="56"/>
      <c r="Z56" s="56"/>
      <c r="AA56" s="56"/>
    </row>
    <row r="57" spans="1:27" ht="15.75" x14ac:dyDescent="0.25">
      <c r="A57" s="45" t="s">
        <v>630</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row>
    <row r="58" spans="1:27" ht="15.75" x14ac:dyDescent="0.25">
      <c r="A58" s="45" t="s">
        <v>631</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row>
    <row r="59" spans="1:27" ht="15.75" x14ac:dyDescent="0.25">
      <c r="A59" s="46" t="s">
        <v>7</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row>
    <row r="60" spans="1:27" ht="15.75"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ht="30.6" customHeight="1"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row>
    <row r="62" spans="1:27" ht="15.75"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row>
    <row r="63" spans="1:27" ht="15.75"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row>
    <row r="64" spans="1:27" ht="15.75"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row>
    <row r="65" spans="1:27" ht="15.75"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row>
    <row r="66" spans="1:27" ht="14.45" customHeight="1"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ht="15.75"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row>
    <row r="68" spans="1:27" ht="14.45" customHeight="1" x14ac:dyDescent="0.25"/>
  </sheetData>
  <sheetProtection sheet="1" objects="1" scenarios="1"/>
  <protectedRanges>
    <protectedRange sqref="B7" name="Range1"/>
  </protectedRanges>
  <conditionalFormatting sqref="C9:C44">
    <cfRule type="dataBar" priority="3">
      <dataBar>
        <cfvo type="num" val="0"/>
        <cfvo type="num" val="1"/>
        <color rgb="FFB4A9D4"/>
      </dataBar>
      <extLst>
        <ext xmlns:x14="http://schemas.microsoft.com/office/spreadsheetml/2009/9/main" uri="{B025F937-C7B1-47D3-B67F-A62EFF666E3E}">
          <x14:id>{2106E6B9-A8C9-40A3-849F-0C7301EB9105}</x14:id>
        </ext>
      </extLst>
    </cfRule>
  </conditionalFormatting>
  <conditionalFormatting sqref="I9:M44">
    <cfRule type="dataBar" priority="2">
      <dataBar>
        <cfvo type="num" val="0"/>
        <cfvo type="num" val="1"/>
        <color rgb="FFB4A9D4"/>
      </dataBar>
      <extLst>
        <ext xmlns:x14="http://schemas.microsoft.com/office/spreadsheetml/2009/9/main" uri="{B025F937-C7B1-47D3-B67F-A62EFF666E3E}">
          <x14:id>{101E87F6-0FB9-456E-BE88-F1FA44F358C5}</x14:id>
        </ext>
      </extLst>
    </cfRule>
  </conditionalFormatting>
  <conditionalFormatting sqref="M47:M50">
    <cfRule type="dataBar" priority="1">
      <dataBar>
        <cfvo type="min"/>
        <cfvo type="max"/>
        <color rgb="FF638EC6"/>
      </dataBar>
      <extLst>
        <ext xmlns:x14="http://schemas.microsoft.com/office/spreadsheetml/2009/9/main" uri="{B025F937-C7B1-47D3-B67F-A62EFF666E3E}">
          <x14:id>{2E12C091-01E3-4EAC-BCE1-66D560A805B9}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06E6B9-A8C9-40A3-849F-0C7301EB9105}">
            <x14:dataBar minLength="0" maxLength="100" gradient="0">
              <x14:cfvo type="num">
                <xm:f>0</xm:f>
              </x14:cfvo>
              <x14:cfvo type="num">
                <xm:f>1</xm:f>
              </x14:cfvo>
              <x14:negativeFillColor rgb="FFFF0000"/>
              <x14:axisColor rgb="FF000000"/>
            </x14:dataBar>
          </x14:cfRule>
          <xm:sqref>C9:C44</xm:sqref>
        </x14:conditionalFormatting>
        <x14:conditionalFormatting xmlns:xm="http://schemas.microsoft.com/office/excel/2006/main">
          <x14:cfRule type="dataBar" id="{101E87F6-0FB9-456E-BE88-F1FA44F358C5}">
            <x14:dataBar minLength="0" maxLength="100" gradient="0">
              <x14:cfvo type="num">
                <xm:f>0</xm:f>
              </x14:cfvo>
              <x14:cfvo type="num">
                <xm:f>1</xm:f>
              </x14:cfvo>
              <x14:negativeFillColor rgb="FFFF0000"/>
              <x14:axisColor rgb="FF000000"/>
            </x14:dataBar>
          </x14:cfRule>
          <xm:sqref>I9:M44</xm:sqref>
        </x14:conditionalFormatting>
        <x14:conditionalFormatting xmlns:xm="http://schemas.microsoft.com/office/excel/2006/main">
          <x14:cfRule type="dataBar" id="{2E12C091-01E3-4EAC-BCE1-66D560A805B9}">
            <x14:dataBar minLength="0" maxLength="100" border="1" negativeBarBorderColorSameAsPositive="0">
              <x14:cfvo type="autoMin"/>
              <x14:cfvo type="autoMax"/>
              <x14:borderColor rgb="FF638EC6"/>
              <x14:negativeFillColor rgb="FFFF0000"/>
              <x14:negativeBorderColor rgb="FFFF0000"/>
              <x14:axisColor rgb="FF000000"/>
            </x14:dataBar>
          </x14:cfRule>
          <xm:sqref>M47:M50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6 - Full data'!$O$2:$O$6</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48"/>
  <sheetViews>
    <sheetView zoomScale="75" zoomScaleNormal="75" workbookViewId="0"/>
  </sheetViews>
  <sheetFormatPr defaultColWidth="8.7109375" defaultRowHeight="15" x14ac:dyDescent="0.25"/>
  <cols>
    <col min="1" max="1" width="55.5703125" style="22" customWidth="1"/>
    <col min="2" max="10" width="14.140625" style="22" customWidth="1"/>
    <col min="11" max="11" width="13.42578125" style="22" customWidth="1"/>
    <col min="12" max="12" width="9.5703125" style="22" bestFit="1" customWidth="1"/>
    <col min="13" max="16384" width="8.7109375" style="22"/>
  </cols>
  <sheetData>
    <row r="1" spans="1:35" ht="21" x14ac:dyDescent="0.35">
      <c r="A1" s="21" t="s">
        <v>37</v>
      </c>
      <c r="B1" s="21"/>
      <c r="C1" s="21"/>
      <c r="D1" s="21"/>
      <c r="E1" s="21"/>
      <c r="F1" s="21"/>
      <c r="G1" s="21"/>
      <c r="H1" s="23"/>
      <c r="I1" s="23"/>
      <c r="J1" s="23"/>
      <c r="K1" s="23"/>
    </row>
    <row r="2" spans="1:35" ht="21" x14ac:dyDescent="0.35">
      <c r="A2" s="37" t="s">
        <v>772</v>
      </c>
      <c r="B2" s="20"/>
      <c r="C2" s="20"/>
      <c r="D2" s="20"/>
      <c r="E2" s="20"/>
      <c r="F2" s="20"/>
      <c r="G2" s="20"/>
      <c r="H2" s="23"/>
      <c r="I2" s="23"/>
      <c r="J2" s="23"/>
      <c r="K2" s="23"/>
    </row>
    <row r="3" spans="1:35" ht="21" x14ac:dyDescent="0.35">
      <c r="A3" s="26" t="s">
        <v>67</v>
      </c>
      <c r="B3" s="20"/>
      <c r="C3" s="20"/>
      <c r="D3" s="20"/>
      <c r="E3" s="20"/>
      <c r="F3" s="20"/>
      <c r="G3" s="20"/>
      <c r="H3" s="23"/>
      <c r="I3" s="23"/>
      <c r="J3" s="23"/>
      <c r="K3" s="23"/>
    </row>
    <row r="4" spans="1:35" s="198" customFormat="1" ht="15.95" customHeight="1" x14ac:dyDescent="0.35">
      <c r="A4" s="222" t="s">
        <v>745</v>
      </c>
      <c r="B4" s="223"/>
      <c r="C4" s="223"/>
      <c r="D4" s="223"/>
      <c r="E4" s="223"/>
      <c r="F4" s="223"/>
      <c r="G4" s="223"/>
      <c r="H4" s="224"/>
      <c r="I4" s="224"/>
      <c r="J4" s="224"/>
      <c r="K4" s="224"/>
    </row>
    <row r="5" spans="1:35" s="198" customFormat="1" ht="15.95" customHeight="1" x14ac:dyDescent="0.35">
      <c r="A5" s="222" t="s">
        <v>746</v>
      </c>
      <c r="B5" s="223"/>
      <c r="C5" s="223"/>
      <c r="D5" s="223"/>
      <c r="E5" s="223"/>
      <c r="F5" s="223"/>
      <c r="G5" s="223"/>
      <c r="H5" s="224"/>
      <c r="I5" s="224"/>
      <c r="J5" s="224"/>
      <c r="K5" s="224"/>
    </row>
    <row r="6" spans="1:35" ht="21" x14ac:dyDescent="0.35">
      <c r="A6" s="26" t="s">
        <v>752</v>
      </c>
      <c r="B6" s="20"/>
      <c r="C6" s="20"/>
      <c r="D6" s="20"/>
      <c r="E6" s="20"/>
      <c r="F6" s="20"/>
      <c r="G6" s="20"/>
      <c r="H6" s="23"/>
      <c r="I6" s="23"/>
      <c r="J6" s="23"/>
      <c r="K6" s="23"/>
      <c r="W6" s="24"/>
      <c r="X6" s="24"/>
      <c r="Y6" s="24"/>
      <c r="Z6" s="24"/>
      <c r="AA6" s="24"/>
      <c r="AB6" s="24"/>
      <c r="AC6" s="24"/>
      <c r="AD6" s="24"/>
      <c r="AE6" s="24"/>
      <c r="AF6" s="24"/>
      <c r="AG6" s="24"/>
      <c r="AH6" s="24"/>
      <c r="AI6" s="24"/>
    </row>
    <row r="7" spans="1:35" ht="35.25" customHeight="1" x14ac:dyDescent="0.25">
      <c r="A7" s="202" t="s">
        <v>711</v>
      </c>
      <c r="B7" s="203" t="s">
        <v>222</v>
      </c>
      <c r="C7" s="61"/>
      <c r="D7" s="27"/>
      <c r="E7" s="27"/>
      <c r="F7" s="27"/>
      <c r="G7" s="27"/>
      <c r="H7" s="27"/>
      <c r="I7" s="27"/>
      <c r="J7" s="27"/>
      <c r="K7" s="27"/>
      <c r="L7" s="27"/>
      <c r="M7" s="27"/>
      <c r="N7" s="27"/>
      <c r="O7" s="27"/>
      <c r="P7" s="27"/>
      <c r="Q7" s="27"/>
      <c r="W7" s="238"/>
      <c r="X7" s="238"/>
      <c r="Y7" s="238"/>
      <c r="Z7" s="238"/>
      <c r="AA7" s="238"/>
      <c r="AB7" s="238"/>
      <c r="AC7" s="238"/>
      <c r="AD7" s="238"/>
      <c r="AE7" s="238"/>
      <c r="AF7" s="238"/>
      <c r="AG7" s="238"/>
      <c r="AH7" s="24"/>
      <c r="AI7" s="24"/>
    </row>
    <row r="8" spans="1:35" ht="63" x14ac:dyDescent="0.25">
      <c r="A8" s="68" t="s">
        <v>633</v>
      </c>
      <c r="B8" s="32" t="s">
        <v>618</v>
      </c>
      <c r="C8" s="32" t="s">
        <v>314</v>
      </c>
      <c r="D8" s="32" t="s">
        <v>60</v>
      </c>
      <c r="E8" s="32" t="s">
        <v>619</v>
      </c>
      <c r="F8" s="32" t="s">
        <v>620</v>
      </c>
      <c r="G8" s="32" t="s">
        <v>621</v>
      </c>
      <c r="H8" s="32" t="s">
        <v>315</v>
      </c>
      <c r="I8" s="32" t="s">
        <v>316</v>
      </c>
      <c r="J8" s="32" t="s">
        <v>317</v>
      </c>
      <c r="K8" s="27"/>
      <c r="L8" s="33"/>
      <c r="M8" s="27"/>
      <c r="N8" s="27"/>
      <c r="O8" s="27"/>
      <c r="P8" s="27"/>
      <c r="Q8" s="27"/>
      <c r="W8" s="238"/>
      <c r="X8" s="238"/>
      <c r="Y8" s="55"/>
      <c r="Z8" s="55"/>
      <c r="AA8" s="55"/>
      <c r="AB8" s="55"/>
      <c r="AC8" s="55"/>
      <c r="AD8" s="55"/>
      <c r="AE8" s="19"/>
      <c r="AF8" s="19"/>
      <c r="AG8" s="19"/>
      <c r="AH8" s="24"/>
      <c r="AI8" s="24"/>
    </row>
    <row r="9" spans="1:35" ht="15.75" x14ac:dyDescent="0.25">
      <c r="A9" s="154" t="str">
        <f xml:space="preserve"> "Total " &amp;$B$7</f>
        <v>Total All time</v>
      </c>
      <c r="B9" s="180">
        <f>VLOOKUP($A9, 'Table 7 - Full data'!$A$2:$J$91,2,FALSE)</f>
        <v>323915</v>
      </c>
      <c r="C9" s="116">
        <f>VLOOKUP($A9,'Table 7 - Full data'!$A$2:$J$91,3,FALSE)</f>
        <v>1</v>
      </c>
      <c r="D9" s="163">
        <f>VLOOKUP($A9,'Table 7 - Full data'!$A$2:$J$91,4,FALSE)</f>
        <v>315340</v>
      </c>
      <c r="E9" s="163">
        <f>VLOOKUP($A9,'Table 7 - Full data'!$A$2:$J$91,5,FALSE)</f>
        <v>213585</v>
      </c>
      <c r="F9" s="163">
        <f>VLOOKUP($A9,'Table 7 - Full data'!$A$2:$J$91,6,FALSE)</f>
        <v>90095</v>
      </c>
      <c r="G9" s="163">
        <f>VLOOKUP($A9,'Table 7 - Full data'!$A$2:$J$91,7,FALSE)</f>
        <v>11660</v>
      </c>
      <c r="H9" s="116">
        <f>VLOOKUP($A9,'Table 7 - Full data'!$A$2:$J$91,8,FALSE)</f>
        <v>0.68</v>
      </c>
      <c r="I9" s="116">
        <f>VLOOKUP($A9,'Table 7 - Full data'!$A$2:$J$91,9,FALSE)</f>
        <v>0.28999999999999998</v>
      </c>
      <c r="J9" s="116">
        <f>VLOOKUP($A9,'Table 7 - Full data'!$A$2:$J$91,10,FALSE)</f>
        <v>0.04</v>
      </c>
      <c r="K9" s="27"/>
      <c r="L9" s="33"/>
      <c r="M9" s="27"/>
      <c r="N9" s="27"/>
      <c r="O9" s="27"/>
      <c r="P9" s="27"/>
      <c r="Q9" s="27"/>
      <c r="W9" s="55"/>
      <c r="X9" s="55"/>
      <c r="Y9" s="55"/>
      <c r="Z9" s="55"/>
      <c r="AA9" s="55"/>
      <c r="AB9" s="55"/>
      <c r="AC9" s="55"/>
      <c r="AD9" s="55"/>
      <c r="AE9" s="19"/>
      <c r="AF9" s="19"/>
      <c r="AG9" s="19"/>
      <c r="AH9" s="24"/>
      <c r="AI9" s="24"/>
    </row>
    <row r="10" spans="1:35" ht="15.75" x14ac:dyDescent="0.25">
      <c r="A10" s="41" t="str">
        <f xml:space="preserve"> "Ayrshire and Arran " &amp;$B$7</f>
        <v>Ayrshire and Arran All time</v>
      </c>
      <c r="B10" s="135">
        <f>VLOOKUP($A10, 'Table 7 - Full data'!$A$2:$J$91,2,FALSE)</f>
        <v>26345</v>
      </c>
      <c r="C10" s="141">
        <f>VLOOKUP($A10,'Table 7 - Full data'!$A$2:$J$91,3,FALSE)</f>
        <v>0.08</v>
      </c>
      <c r="D10" s="134">
        <f>VLOOKUP($A10,'Table 7 - Full data'!$A$2:$J$91,4,FALSE)</f>
        <v>25740</v>
      </c>
      <c r="E10" s="134">
        <f>VLOOKUP($A10,'Table 7 - Full data'!$A$2:$J$91,5,FALSE)</f>
        <v>18400</v>
      </c>
      <c r="F10" s="134">
        <f>VLOOKUP($A10,'Table 7 - Full data'!$A$2:$J$91,6,FALSE)</f>
        <v>6355</v>
      </c>
      <c r="G10" s="134">
        <f>VLOOKUP($A10,'Table 7 - Full data'!$A$2:$J$91,7,FALSE)</f>
        <v>985</v>
      </c>
      <c r="H10" s="141">
        <f>VLOOKUP($A10,'Table 7 - Full data'!$A$2:$J$91,8,FALSE)</f>
        <v>0.71</v>
      </c>
      <c r="I10" s="141">
        <f>VLOOKUP($A10,'Table 7 - Full data'!$A$2:$J$91,9,FALSE)</f>
        <v>0.25</v>
      </c>
      <c r="J10" s="141">
        <f>VLOOKUP($A10,'Table 7 - Full data'!$A$2:$J$91,10,FALSE)</f>
        <v>0.04</v>
      </c>
      <c r="K10" s="27"/>
      <c r="L10" s="36"/>
      <c r="M10" s="27"/>
      <c r="N10" s="27"/>
      <c r="O10" s="27"/>
      <c r="P10" s="27"/>
      <c r="Q10" s="27"/>
      <c r="W10" s="239"/>
      <c r="X10" s="239"/>
      <c r="Y10" s="16"/>
      <c r="Z10" s="17"/>
      <c r="AA10" s="16"/>
      <c r="AB10" s="16"/>
      <c r="AC10" s="16"/>
      <c r="AD10" s="16"/>
      <c r="AE10" s="17"/>
      <c r="AF10" s="17"/>
      <c r="AG10" s="17"/>
      <c r="AH10" s="24"/>
      <c r="AI10" s="24"/>
    </row>
    <row r="11" spans="1:35" ht="15.75" x14ac:dyDescent="0.25">
      <c r="A11" s="41" t="str">
        <f xml:space="preserve"> "Borders " &amp;$B$7</f>
        <v>Borders All time</v>
      </c>
      <c r="B11" s="135">
        <f>VLOOKUP($A11, 'Table 7 - Full data'!$A$2:$J$91,2,FALSE)</f>
        <v>5175</v>
      </c>
      <c r="C11" s="141">
        <f>VLOOKUP($A11,'Table 7 - Full data'!$A$2:$J$91,3,FALSE)</f>
        <v>0.02</v>
      </c>
      <c r="D11" s="134">
        <f>VLOOKUP($A11,'Table 7 - Full data'!$A$2:$J$91,4,FALSE)</f>
        <v>5015</v>
      </c>
      <c r="E11" s="134">
        <f>VLOOKUP($A11,'Table 7 - Full data'!$A$2:$J$91,5,FALSE)</f>
        <v>3600</v>
      </c>
      <c r="F11" s="134">
        <f>VLOOKUP($A11,'Table 7 - Full data'!$A$2:$J$91,6,FALSE)</f>
        <v>1255</v>
      </c>
      <c r="G11" s="134">
        <f>VLOOKUP($A11,'Table 7 - Full data'!$A$2:$J$91,7,FALSE)</f>
        <v>155</v>
      </c>
      <c r="H11" s="141">
        <f>VLOOKUP($A11,'Table 7 - Full data'!$A$2:$J$91,8,FALSE)</f>
        <v>0.72</v>
      </c>
      <c r="I11" s="141">
        <f>VLOOKUP($A11,'Table 7 - Full data'!$A$2:$J$91,9,FALSE)</f>
        <v>0.25</v>
      </c>
      <c r="J11" s="141">
        <f>VLOOKUP($A11,'Table 7 - Full data'!$A$2:$J$91,10,FALSE)</f>
        <v>0.03</v>
      </c>
      <c r="K11" s="27"/>
      <c r="L11" s="36"/>
      <c r="M11" s="37"/>
      <c r="N11" s="27"/>
      <c r="O11" s="27"/>
      <c r="P11" s="27"/>
      <c r="Q11" s="27"/>
      <c r="W11" s="51"/>
      <c r="X11" s="24"/>
      <c r="Y11" s="6"/>
      <c r="Z11" s="7"/>
      <c r="AA11" s="16"/>
      <c r="AB11" s="3"/>
      <c r="AC11" s="3"/>
      <c r="AD11" s="52"/>
      <c r="AE11" s="7"/>
      <c r="AF11" s="7"/>
      <c r="AG11" s="7"/>
      <c r="AH11" s="24"/>
      <c r="AI11" s="24"/>
    </row>
    <row r="12" spans="1:35" ht="15.75" x14ac:dyDescent="0.25">
      <c r="A12" s="41" t="str">
        <f xml:space="preserve"> "Dumfries and Galloway " &amp;$B$7</f>
        <v>Dumfries and Galloway All time</v>
      </c>
      <c r="B12" s="135">
        <f>VLOOKUP($A12, 'Table 7 - Full data'!$A$2:$J$91,2,FALSE)</f>
        <v>8240</v>
      </c>
      <c r="C12" s="141">
        <f>VLOOKUP($A12,'Table 7 - Full data'!$A$2:$J$91,3,FALSE)</f>
        <v>0.03</v>
      </c>
      <c r="D12" s="134">
        <f>VLOOKUP($A12,'Table 7 - Full data'!$A$2:$J$91,4,FALSE)</f>
        <v>8030</v>
      </c>
      <c r="E12" s="134">
        <f>VLOOKUP($A12,'Table 7 - Full data'!$A$2:$J$91,5,FALSE)</f>
        <v>5725</v>
      </c>
      <c r="F12" s="134">
        <f>VLOOKUP($A12,'Table 7 - Full data'!$A$2:$J$91,6,FALSE)</f>
        <v>2000</v>
      </c>
      <c r="G12" s="134">
        <f>VLOOKUP($A12,'Table 7 - Full data'!$A$2:$J$91,7,FALSE)</f>
        <v>305</v>
      </c>
      <c r="H12" s="141">
        <f>VLOOKUP($A12,'Table 7 - Full data'!$A$2:$J$91,8,FALSE)</f>
        <v>0.71</v>
      </c>
      <c r="I12" s="141">
        <f>VLOOKUP($A12,'Table 7 - Full data'!$A$2:$J$91,9,FALSE)</f>
        <v>0.25</v>
      </c>
      <c r="J12" s="141">
        <f>VLOOKUP($A12,'Table 7 - Full data'!$A$2:$J$91,10,FALSE)</f>
        <v>0.04</v>
      </c>
      <c r="K12" s="27"/>
      <c r="L12" s="36"/>
      <c r="M12" s="37"/>
      <c r="N12" s="27"/>
      <c r="O12" s="27"/>
      <c r="P12" s="27"/>
      <c r="Q12" s="27"/>
      <c r="W12" s="240"/>
      <c r="X12" s="24"/>
      <c r="Y12" s="6"/>
      <c r="Z12" s="7"/>
      <c r="AA12" s="16"/>
      <c r="AB12" s="3"/>
      <c r="AC12" s="3"/>
      <c r="AD12" s="52"/>
      <c r="AE12" s="7"/>
      <c r="AF12" s="7"/>
      <c r="AG12" s="7"/>
      <c r="AH12" s="24"/>
      <c r="AI12" s="24"/>
    </row>
    <row r="13" spans="1:35" ht="15.75" x14ac:dyDescent="0.25">
      <c r="A13" s="41" t="str">
        <f xml:space="preserve"> "Fife " &amp;$B$7</f>
        <v>Fife All time</v>
      </c>
      <c r="B13" s="135">
        <f>VLOOKUP($A13, 'Table 7 - Full data'!$A$2:$J$91,2,FALSE)</f>
        <v>23760</v>
      </c>
      <c r="C13" s="141">
        <f>VLOOKUP($A13,'Table 7 - Full data'!$A$2:$J$91,3,FALSE)</f>
        <v>7.0000000000000007E-2</v>
      </c>
      <c r="D13" s="134">
        <f>VLOOKUP($A13,'Table 7 - Full data'!$A$2:$J$91,4,FALSE)</f>
        <v>23150</v>
      </c>
      <c r="E13" s="134">
        <f>VLOOKUP($A13,'Table 7 - Full data'!$A$2:$J$91,5,FALSE)</f>
        <v>16650</v>
      </c>
      <c r="F13" s="134">
        <f>VLOOKUP($A13,'Table 7 - Full data'!$A$2:$J$91,6,FALSE)</f>
        <v>5680</v>
      </c>
      <c r="G13" s="134">
        <f>VLOOKUP($A13,'Table 7 - Full data'!$A$2:$J$91,7,FALSE)</f>
        <v>825</v>
      </c>
      <c r="H13" s="141">
        <f>VLOOKUP($A13,'Table 7 - Full data'!$A$2:$J$91,8,FALSE)</f>
        <v>0.72</v>
      </c>
      <c r="I13" s="141">
        <f>VLOOKUP($A13,'Table 7 - Full data'!$A$2:$J$91,9,FALSE)</f>
        <v>0.25</v>
      </c>
      <c r="J13" s="141">
        <f>VLOOKUP($A13,'Table 7 - Full data'!$A$2:$J$91,10,FALSE)</f>
        <v>0.04</v>
      </c>
      <c r="K13" s="27"/>
      <c r="L13" s="36"/>
      <c r="M13" s="37"/>
      <c r="N13" s="27"/>
      <c r="O13" s="27"/>
      <c r="P13" s="27"/>
      <c r="Q13" s="27"/>
      <c r="W13" s="240"/>
      <c r="X13" s="53"/>
      <c r="Y13" s="6"/>
      <c r="Z13" s="7"/>
      <c r="AA13" s="16"/>
      <c r="AB13" s="3"/>
      <c r="AC13" s="3"/>
      <c r="AD13" s="52"/>
      <c r="AE13" s="7"/>
      <c r="AF13" s="7"/>
      <c r="AG13" s="7"/>
      <c r="AH13" s="24"/>
      <c r="AI13" s="24"/>
    </row>
    <row r="14" spans="1:35" ht="15.75" x14ac:dyDescent="0.25">
      <c r="A14" s="41" t="str">
        <f xml:space="preserve"> "Forth Valley " &amp;$B$7</f>
        <v>Forth Valley All time</v>
      </c>
      <c r="B14" s="135">
        <f>VLOOKUP($A14, 'Table 7 - Full data'!$A$2:$J$91,2,FALSE)</f>
        <v>16120</v>
      </c>
      <c r="C14" s="141">
        <f>VLOOKUP($A14,'Table 7 - Full data'!$A$2:$J$91,3,FALSE)</f>
        <v>0.05</v>
      </c>
      <c r="D14" s="134">
        <f>VLOOKUP($A14,'Table 7 - Full data'!$A$2:$J$91,4,FALSE)</f>
        <v>15735</v>
      </c>
      <c r="E14" s="134">
        <f>VLOOKUP($A14,'Table 7 - Full data'!$A$2:$J$91,5,FALSE)</f>
        <v>11245</v>
      </c>
      <c r="F14" s="134">
        <f>VLOOKUP($A14,'Table 7 - Full data'!$A$2:$J$91,6,FALSE)</f>
        <v>3885</v>
      </c>
      <c r="G14" s="134">
        <f>VLOOKUP($A14,'Table 7 - Full data'!$A$2:$J$91,7,FALSE)</f>
        <v>605</v>
      </c>
      <c r="H14" s="141">
        <f>VLOOKUP($A14,'Table 7 - Full data'!$A$2:$J$91,8,FALSE)</f>
        <v>0.71</v>
      </c>
      <c r="I14" s="141">
        <f>VLOOKUP($A14,'Table 7 - Full data'!$A$2:$J$91,9,FALSE)</f>
        <v>0.25</v>
      </c>
      <c r="J14" s="141">
        <f>VLOOKUP($A14,'Table 7 - Full data'!$A$2:$J$91,10,FALSE)</f>
        <v>0.04</v>
      </c>
      <c r="K14" s="27"/>
      <c r="L14" s="36"/>
      <c r="M14" s="37"/>
      <c r="N14" s="27"/>
      <c r="O14" s="27"/>
      <c r="P14" s="27"/>
      <c r="Q14" s="27"/>
      <c r="W14" s="240"/>
      <c r="X14" s="24"/>
      <c r="Y14" s="6"/>
      <c r="Z14" s="7"/>
      <c r="AA14" s="16"/>
      <c r="AB14" s="3"/>
      <c r="AC14" s="3"/>
      <c r="AD14" s="52"/>
      <c r="AE14" s="7"/>
      <c r="AF14" s="7"/>
      <c r="AG14" s="7"/>
      <c r="AH14" s="24"/>
      <c r="AI14" s="24"/>
    </row>
    <row r="15" spans="1:35" ht="15.75" x14ac:dyDescent="0.25">
      <c r="A15" s="41" t="str">
        <f xml:space="preserve"> "Grampian " &amp;$B$7</f>
        <v>Grampian All time</v>
      </c>
      <c r="B15" s="135">
        <f>VLOOKUP($A15, 'Table 7 - Full data'!$A$2:$J$91,2,FALSE)</f>
        <v>22495</v>
      </c>
      <c r="C15" s="141">
        <f>VLOOKUP($A15,'Table 7 - Full data'!$A$2:$J$91,3,FALSE)</f>
        <v>7.0000000000000007E-2</v>
      </c>
      <c r="D15" s="134">
        <f>VLOOKUP($A15,'Table 7 - Full data'!$A$2:$J$91,4,FALSE)</f>
        <v>21850</v>
      </c>
      <c r="E15" s="134">
        <f>VLOOKUP($A15,'Table 7 - Full data'!$A$2:$J$91,5,FALSE)</f>
        <v>14975</v>
      </c>
      <c r="F15" s="134">
        <f>VLOOKUP($A15,'Table 7 - Full data'!$A$2:$J$91,6,FALSE)</f>
        <v>6115</v>
      </c>
      <c r="G15" s="134">
        <f>VLOOKUP($A15,'Table 7 - Full data'!$A$2:$J$91,7,FALSE)</f>
        <v>760</v>
      </c>
      <c r="H15" s="141">
        <f>VLOOKUP($A15,'Table 7 - Full data'!$A$2:$J$91,8,FALSE)</f>
        <v>0.69</v>
      </c>
      <c r="I15" s="141">
        <f>VLOOKUP($A15,'Table 7 - Full data'!$A$2:$J$91,9,FALSE)</f>
        <v>0.28000000000000003</v>
      </c>
      <c r="J15" s="141">
        <f>VLOOKUP($A15,'Table 7 - Full data'!$A$2:$J$91,10,FALSE)</f>
        <v>0.03</v>
      </c>
      <c r="K15" s="27"/>
      <c r="L15" s="36"/>
      <c r="M15" s="37"/>
      <c r="N15" s="27"/>
      <c r="O15" s="27"/>
      <c r="P15" s="27"/>
      <c r="Q15" s="27"/>
      <c r="W15" s="240"/>
      <c r="X15" s="10"/>
      <c r="Y15" s="6"/>
      <c r="Z15" s="7"/>
      <c r="AA15" s="16"/>
      <c r="AB15" s="3"/>
      <c r="AC15" s="3"/>
      <c r="AD15" s="52"/>
      <c r="AE15" s="7"/>
      <c r="AF15" s="7"/>
      <c r="AG15" s="7"/>
      <c r="AH15" s="24"/>
      <c r="AI15" s="24"/>
    </row>
    <row r="16" spans="1:35" ht="15.75" x14ac:dyDescent="0.25">
      <c r="A16" s="41" t="str">
        <f xml:space="preserve"> "Greater Glasgow and Clyde " &amp;$B$7</f>
        <v>Greater Glasgow and Clyde All time</v>
      </c>
      <c r="B16" s="135">
        <f>VLOOKUP($A16, 'Table 7 - Full data'!$A$2:$J$91,2,FALSE)</f>
        <v>83415</v>
      </c>
      <c r="C16" s="141">
        <f>VLOOKUP($A16,'Table 7 - Full data'!$A$2:$J$91,3,FALSE)</f>
        <v>0.26</v>
      </c>
      <c r="D16" s="134">
        <f>VLOOKUP($A16,'Table 7 - Full data'!$A$2:$J$91,4,FALSE)</f>
        <v>80970</v>
      </c>
      <c r="E16" s="134">
        <f>VLOOKUP($A16,'Table 7 - Full data'!$A$2:$J$91,5,FALSE)</f>
        <v>55725</v>
      </c>
      <c r="F16" s="134">
        <f>VLOOKUP($A16,'Table 7 - Full data'!$A$2:$J$91,6,FALSE)</f>
        <v>22180</v>
      </c>
      <c r="G16" s="134">
        <f>VLOOKUP($A16,'Table 7 - Full data'!$A$2:$J$91,7,FALSE)</f>
        <v>3070</v>
      </c>
      <c r="H16" s="141">
        <f>VLOOKUP($A16,'Table 7 - Full data'!$A$2:$J$91,8,FALSE)</f>
        <v>0.69</v>
      </c>
      <c r="I16" s="141">
        <f>VLOOKUP($A16,'Table 7 - Full data'!$A$2:$J$91,9,FALSE)</f>
        <v>0.27</v>
      </c>
      <c r="J16" s="141">
        <f>VLOOKUP($A16,'Table 7 - Full data'!$A$2:$J$91,10,FALSE)</f>
        <v>0.04</v>
      </c>
      <c r="K16" s="27"/>
      <c r="L16" s="36"/>
      <c r="M16" s="37"/>
      <c r="N16" s="27"/>
      <c r="O16" s="27"/>
      <c r="P16" s="27"/>
      <c r="Q16" s="27"/>
      <c r="W16" s="240"/>
      <c r="X16" s="10"/>
      <c r="Y16" s="6"/>
      <c r="Z16" s="7"/>
      <c r="AA16" s="16"/>
      <c r="AB16" s="3"/>
      <c r="AC16" s="3"/>
      <c r="AD16" s="52"/>
      <c r="AE16" s="7"/>
      <c r="AF16" s="7"/>
      <c r="AG16" s="7"/>
      <c r="AH16" s="24"/>
      <c r="AI16" s="24"/>
    </row>
    <row r="17" spans="1:35" ht="15.75" x14ac:dyDescent="0.25">
      <c r="A17" s="41" t="str">
        <f xml:space="preserve"> "Highland " &amp;$B$7</f>
        <v>Highland All time</v>
      </c>
      <c r="B17" s="135">
        <f>VLOOKUP($A17, 'Table 7 - Full data'!$A$2:$J$91,2,FALSE)</f>
        <v>14020</v>
      </c>
      <c r="C17" s="141">
        <f>VLOOKUP($A17,'Table 7 - Full data'!$A$2:$J$91,3,FALSE)</f>
        <v>0.04</v>
      </c>
      <c r="D17" s="134">
        <f>VLOOKUP($A17,'Table 7 - Full data'!$A$2:$J$91,4,FALSE)</f>
        <v>13665</v>
      </c>
      <c r="E17" s="134">
        <f>VLOOKUP($A17,'Table 7 - Full data'!$A$2:$J$91,5,FALSE)</f>
        <v>9530</v>
      </c>
      <c r="F17" s="134">
        <f>VLOOKUP($A17,'Table 7 - Full data'!$A$2:$J$91,6,FALSE)</f>
        <v>3655</v>
      </c>
      <c r="G17" s="134">
        <f>VLOOKUP($A17,'Table 7 - Full data'!$A$2:$J$91,7,FALSE)</f>
        <v>480</v>
      </c>
      <c r="H17" s="141">
        <f>VLOOKUP($A17,'Table 7 - Full data'!$A$2:$J$91,8,FALSE)</f>
        <v>0.7</v>
      </c>
      <c r="I17" s="141">
        <f>VLOOKUP($A17,'Table 7 - Full data'!$A$2:$J$91,9,FALSE)</f>
        <v>0.27</v>
      </c>
      <c r="J17" s="141">
        <f>VLOOKUP($A17,'Table 7 - Full data'!$A$2:$J$91,10,FALSE)</f>
        <v>0.04</v>
      </c>
      <c r="K17" s="27"/>
      <c r="L17" s="36"/>
      <c r="M17" s="37"/>
      <c r="N17" s="27"/>
      <c r="O17" s="27"/>
      <c r="P17" s="27"/>
      <c r="Q17" s="27"/>
      <c r="W17" s="240"/>
      <c r="X17" s="10"/>
      <c r="Y17" s="6"/>
      <c r="Z17" s="7"/>
      <c r="AA17" s="16"/>
      <c r="AB17" s="3"/>
      <c r="AC17" s="3"/>
      <c r="AD17" s="52"/>
      <c r="AE17" s="7"/>
      <c r="AF17" s="7"/>
      <c r="AG17" s="7"/>
      <c r="AH17" s="24"/>
      <c r="AI17" s="24"/>
    </row>
    <row r="18" spans="1:35" ht="15.75" x14ac:dyDescent="0.25">
      <c r="A18" s="41" t="str">
        <f xml:space="preserve"> "Lanarkshire " &amp;$B$7</f>
        <v>Lanarkshire All time</v>
      </c>
      <c r="B18" s="135">
        <f>VLOOKUP($A18, 'Table 7 - Full data'!$A$2:$J$91,2,FALSE)</f>
        <v>43900</v>
      </c>
      <c r="C18" s="141">
        <f>VLOOKUP($A18,'Table 7 - Full data'!$A$2:$J$91,3,FALSE)</f>
        <v>0.14000000000000001</v>
      </c>
      <c r="D18" s="134">
        <f>VLOOKUP($A18,'Table 7 - Full data'!$A$2:$J$91,4,FALSE)</f>
        <v>42890</v>
      </c>
      <c r="E18" s="134">
        <f>VLOOKUP($A18,'Table 7 - Full data'!$A$2:$J$91,5,FALSE)</f>
        <v>30050</v>
      </c>
      <c r="F18" s="134">
        <f>VLOOKUP($A18,'Table 7 - Full data'!$A$2:$J$91,6,FALSE)</f>
        <v>11300</v>
      </c>
      <c r="G18" s="134">
        <f>VLOOKUP($A18,'Table 7 - Full data'!$A$2:$J$91,7,FALSE)</f>
        <v>1535</v>
      </c>
      <c r="H18" s="141">
        <f>VLOOKUP($A18,'Table 7 - Full data'!$A$2:$J$91,8,FALSE)</f>
        <v>0.7</v>
      </c>
      <c r="I18" s="141">
        <f>VLOOKUP($A18,'Table 7 - Full data'!$A$2:$J$91,9,FALSE)</f>
        <v>0.26</v>
      </c>
      <c r="J18" s="141">
        <f>VLOOKUP($A18,'Table 7 - Full data'!$A$2:$J$91,10,FALSE)</f>
        <v>0.04</v>
      </c>
      <c r="K18" s="27"/>
      <c r="L18" s="36"/>
      <c r="M18" s="37"/>
      <c r="N18" s="27"/>
      <c r="O18" s="27"/>
      <c r="P18" s="27"/>
      <c r="Q18" s="27"/>
      <c r="W18" s="241"/>
      <c r="X18" s="10"/>
      <c r="Y18" s="6"/>
      <c r="Z18" s="7"/>
      <c r="AA18" s="16"/>
      <c r="AB18" s="3"/>
      <c r="AC18" s="3"/>
      <c r="AD18" s="52"/>
      <c r="AE18" s="7"/>
      <c r="AF18" s="7"/>
      <c r="AG18" s="7"/>
      <c r="AH18" s="24"/>
      <c r="AI18" s="24"/>
    </row>
    <row r="19" spans="1:35" ht="15.75" x14ac:dyDescent="0.25">
      <c r="A19" s="41" t="str">
        <f xml:space="preserve"> "Lothian " &amp;$B$7</f>
        <v>Lothian All time</v>
      </c>
      <c r="B19" s="135">
        <f>VLOOKUP($A19, 'Table 7 - Full data'!$A$2:$J$91,2,FALSE)</f>
        <v>43335</v>
      </c>
      <c r="C19" s="141">
        <f>VLOOKUP($A19,'Table 7 - Full data'!$A$2:$J$91,3,FALSE)</f>
        <v>0.13</v>
      </c>
      <c r="D19" s="134">
        <f>VLOOKUP($A19,'Table 7 - Full data'!$A$2:$J$91,4,FALSE)</f>
        <v>42165</v>
      </c>
      <c r="E19" s="134">
        <f>VLOOKUP($A19,'Table 7 - Full data'!$A$2:$J$91,5,FALSE)</f>
        <v>29245</v>
      </c>
      <c r="F19" s="134">
        <f>VLOOKUP($A19,'Table 7 - Full data'!$A$2:$J$91,6,FALSE)</f>
        <v>11300</v>
      </c>
      <c r="G19" s="134">
        <f>VLOOKUP($A19,'Table 7 - Full data'!$A$2:$J$91,7,FALSE)</f>
        <v>1620</v>
      </c>
      <c r="H19" s="141">
        <f>VLOOKUP($A19,'Table 7 - Full data'!$A$2:$J$91,8,FALSE)</f>
        <v>0.69</v>
      </c>
      <c r="I19" s="141">
        <f>VLOOKUP($A19,'Table 7 - Full data'!$A$2:$J$91,9,FALSE)</f>
        <v>0.27</v>
      </c>
      <c r="J19" s="141">
        <f>VLOOKUP($A19,'Table 7 - Full data'!$A$2:$J$91,10,FALSE)</f>
        <v>0.04</v>
      </c>
      <c r="K19" s="27"/>
      <c r="L19" s="36"/>
      <c r="M19" s="37"/>
      <c r="N19" s="27"/>
      <c r="O19" s="27"/>
      <c r="P19" s="27"/>
      <c r="Q19" s="27"/>
      <c r="W19" s="241"/>
      <c r="X19" s="10"/>
      <c r="Y19" s="6"/>
      <c r="Z19" s="7"/>
      <c r="AA19" s="16"/>
      <c r="AB19" s="3"/>
      <c r="AC19" s="3"/>
      <c r="AD19" s="52"/>
      <c r="AE19" s="7"/>
      <c r="AF19" s="7"/>
      <c r="AG19" s="7"/>
      <c r="AH19" s="24"/>
      <c r="AI19" s="24"/>
    </row>
    <row r="20" spans="1:35" s="57" customFormat="1" ht="15.75" x14ac:dyDescent="0.25">
      <c r="A20" s="41" t="str">
        <f xml:space="preserve"> "Orkney " &amp;$B$7</f>
        <v>Orkney All time</v>
      </c>
      <c r="B20" s="135">
        <f>VLOOKUP($A20, 'Table 7 - Full data'!$A$2:$J$91,2,FALSE)</f>
        <v>660</v>
      </c>
      <c r="C20" s="141">
        <f>VLOOKUP($A20,'Table 7 - Full data'!$A$2:$J$91,3,FALSE)</f>
        <v>0</v>
      </c>
      <c r="D20" s="134">
        <f>VLOOKUP($A20,'Table 7 - Full data'!$A$2:$J$91,4,FALSE)</f>
        <v>645</v>
      </c>
      <c r="E20" s="134">
        <f>VLOOKUP($A20,'Table 7 - Full data'!$A$2:$J$91,5,FALSE)</f>
        <v>415</v>
      </c>
      <c r="F20" s="134">
        <f>VLOOKUP($A20,'Table 7 - Full data'!$A$2:$J$91,6,FALSE)</f>
        <v>210</v>
      </c>
      <c r="G20" s="134">
        <f>VLOOKUP($A20,'Table 7 - Full data'!$A$2:$J$91,7,FALSE)</f>
        <v>20</v>
      </c>
      <c r="H20" s="141">
        <f>VLOOKUP($A20,'Table 7 - Full data'!$A$2:$J$91,8,FALSE)</f>
        <v>0.65</v>
      </c>
      <c r="I20" s="141">
        <f>VLOOKUP($A20,'Table 7 - Full data'!$A$2:$J$91,9,FALSE)</f>
        <v>0.32</v>
      </c>
      <c r="J20" s="141">
        <f>VLOOKUP($A20,'Table 7 - Full data'!$A$2:$J$91,10,FALSE)</f>
        <v>0.03</v>
      </c>
      <c r="K20" s="56"/>
      <c r="L20" s="56"/>
      <c r="M20" s="56"/>
      <c r="N20" s="56"/>
      <c r="O20" s="56"/>
      <c r="P20" s="56"/>
      <c r="Q20" s="56"/>
      <c r="W20" s="54"/>
      <c r="X20" s="54"/>
      <c r="Y20" s="54"/>
      <c r="Z20" s="54"/>
      <c r="AA20" s="54"/>
      <c r="AB20" s="54"/>
      <c r="AC20" s="54"/>
      <c r="AD20" s="54"/>
      <c r="AE20" s="54"/>
      <c r="AF20" s="54"/>
      <c r="AG20" s="54"/>
      <c r="AH20" s="54"/>
      <c r="AI20" s="54"/>
    </row>
    <row r="21" spans="1:35" s="57" customFormat="1" ht="15.75" x14ac:dyDescent="0.25">
      <c r="A21" s="41" t="str">
        <f xml:space="preserve"> "Shetland " &amp;$B$7</f>
        <v>Shetland All time</v>
      </c>
      <c r="B21" s="135">
        <f>VLOOKUP($A21, 'Table 7 - Full data'!$A$2:$J$91,2,FALSE)</f>
        <v>635</v>
      </c>
      <c r="C21" s="141">
        <f>VLOOKUP($A21,'Table 7 - Full data'!$A$2:$J$91,3,FALSE)</f>
        <v>0</v>
      </c>
      <c r="D21" s="134">
        <f>VLOOKUP($A21,'Table 7 - Full data'!$A$2:$J$91,4,FALSE)</f>
        <v>615</v>
      </c>
      <c r="E21" s="134">
        <f>VLOOKUP($A21,'Table 7 - Full data'!$A$2:$J$91,5,FALSE)</f>
        <v>410</v>
      </c>
      <c r="F21" s="134">
        <f>VLOOKUP($A21,'Table 7 - Full data'!$A$2:$J$91,6,FALSE)</f>
        <v>180</v>
      </c>
      <c r="G21" s="134">
        <f>VLOOKUP($A21,'Table 7 - Full data'!$A$2:$J$91,7,FALSE)</f>
        <v>20</v>
      </c>
      <c r="H21" s="141">
        <f>VLOOKUP($A21,'Table 7 - Full data'!$A$2:$J$91,8,FALSE)</f>
        <v>0.67</v>
      </c>
      <c r="I21" s="141">
        <f>VLOOKUP($A21,'Table 7 - Full data'!$A$2:$J$91,9,FALSE)</f>
        <v>0.28999999999999998</v>
      </c>
      <c r="J21" s="141">
        <f>VLOOKUP($A21,'Table 7 - Full data'!$A$2:$J$91,10,FALSE)</f>
        <v>0.03</v>
      </c>
      <c r="K21" s="56"/>
      <c r="L21" s="56"/>
      <c r="M21" s="56"/>
      <c r="N21" s="56"/>
      <c r="O21" s="56"/>
      <c r="P21" s="56"/>
      <c r="Q21" s="56"/>
      <c r="W21" s="54"/>
      <c r="X21" s="54"/>
      <c r="Y21" s="54"/>
      <c r="Z21" s="54"/>
      <c r="AA21" s="54"/>
      <c r="AB21" s="54"/>
      <c r="AC21" s="54"/>
      <c r="AD21" s="54"/>
      <c r="AE21" s="54"/>
      <c r="AF21" s="54"/>
      <c r="AG21" s="54"/>
      <c r="AH21" s="54"/>
      <c r="AI21" s="54"/>
    </row>
    <row r="22" spans="1:35" s="57" customFormat="1" ht="15.75" x14ac:dyDescent="0.25">
      <c r="A22" s="41" t="str">
        <f xml:space="preserve"> "Tayside " &amp;$B$7</f>
        <v>Tayside All time</v>
      </c>
      <c r="B22" s="135">
        <f>VLOOKUP($A22, 'Table 7 - Full data'!$A$2:$J$91,2,FALSE)</f>
        <v>23150</v>
      </c>
      <c r="C22" s="141">
        <f>VLOOKUP($A22,'Table 7 - Full data'!$A$2:$J$91,3,FALSE)</f>
        <v>7.0000000000000007E-2</v>
      </c>
      <c r="D22" s="134">
        <f>VLOOKUP($A22,'Table 7 - Full data'!$A$2:$J$91,4,FALSE)</f>
        <v>22525</v>
      </c>
      <c r="E22" s="134">
        <f>VLOOKUP($A22,'Table 7 - Full data'!$A$2:$J$91,5,FALSE)</f>
        <v>16070</v>
      </c>
      <c r="F22" s="134">
        <f>VLOOKUP($A22,'Table 7 - Full data'!$A$2:$J$91,6,FALSE)</f>
        <v>5645</v>
      </c>
      <c r="G22" s="134">
        <f>VLOOKUP($A22,'Table 7 - Full data'!$A$2:$J$91,7,FALSE)</f>
        <v>815</v>
      </c>
      <c r="H22" s="141">
        <f>VLOOKUP($A22,'Table 7 - Full data'!$A$2:$J$91,8,FALSE)</f>
        <v>0.71</v>
      </c>
      <c r="I22" s="141">
        <f>VLOOKUP($A22,'Table 7 - Full data'!$A$2:$J$91,9,FALSE)</f>
        <v>0.25</v>
      </c>
      <c r="J22" s="141">
        <f>VLOOKUP($A22,'Table 7 - Full data'!$A$2:$J$91,10,FALSE)</f>
        <v>0.04</v>
      </c>
      <c r="K22" s="29"/>
      <c r="L22" s="56"/>
      <c r="M22" s="56"/>
      <c r="N22" s="56"/>
      <c r="O22" s="56"/>
      <c r="P22" s="56"/>
      <c r="Q22" s="56"/>
      <c r="W22" s="54"/>
      <c r="X22" s="54"/>
      <c r="Y22" s="54"/>
      <c r="Z22" s="54"/>
      <c r="AA22" s="54"/>
      <c r="AB22" s="54"/>
      <c r="AC22" s="54"/>
      <c r="AD22" s="54"/>
      <c r="AE22" s="54"/>
      <c r="AF22" s="54"/>
      <c r="AG22" s="54"/>
      <c r="AH22" s="54"/>
      <c r="AI22" s="54"/>
    </row>
    <row r="23" spans="1:35" s="77" customFormat="1" ht="15.75" x14ac:dyDescent="0.25">
      <c r="A23" s="41" t="str">
        <f xml:space="preserve"> "Western Isles " &amp;$B$7</f>
        <v>Western Isles All time</v>
      </c>
      <c r="B23" s="135">
        <f>VLOOKUP($A23, 'Table 7 - Full data'!$A$2:$J$91,2,FALSE)</f>
        <v>925</v>
      </c>
      <c r="C23" s="141">
        <f>VLOOKUP($A23,'Table 7 - Full data'!$A$2:$J$91,3,FALSE)</f>
        <v>0</v>
      </c>
      <c r="D23" s="134">
        <f>VLOOKUP($A23,'Table 7 - Full data'!$A$2:$J$91,4,FALSE)</f>
        <v>900</v>
      </c>
      <c r="E23" s="134">
        <f>VLOOKUP($A23,'Table 7 - Full data'!$A$2:$J$91,5,FALSE)</f>
        <v>595</v>
      </c>
      <c r="F23" s="134">
        <f>VLOOKUP($A23,'Table 7 - Full data'!$A$2:$J$91,6,FALSE)</f>
        <v>280</v>
      </c>
      <c r="G23" s="134">
        <f>VLOOKUP($A23,'Table 7 - Full data'!$A$2:$J$91,7,FALSE)</f>
        <v>25</v>
      </c>
      <c r="H23" s="141">
        <f>VLOOKUP($A23,'Table 7 - Full data'!$A$2:$J$91,8,FALSE)</f>
        <v>0.66</v>
      </c>
      <c r="I23" s="141">
        <f>VLOOKUP($A23,'Table 7 - Full data'!$A$2:$J$91,9,FALSE)</f>
        <v>0.31</v>
      </c>
      <c r="J23" s="141">
        <f>VLOOKUP($A23,'Table 7 - Full data'!$A$2:$J$91,10,FALSE)</f>
        <v>0.03</v>
      </c>
      <c r="K23" s="29"/>
      <c r="L23" s="107"/>
      <c r="M23" s="107"/>
      <c r="N23" s="107"/>
      <c r="O23" s="107"/>
      <c r="P23" s="107"/>
      <c r="Q23" s="107"/>
      <c r="W23" s="54"/>
      <c r="X23" s="54"/>
      <c r="Y23" s="54"/>
      <c r="Z23" s="54"/>
      <c r="AA23" s="54"/>
      <c r="AB23" s="54"/>
      <c r="AC23" s="54"/>
      <c r="AD23" s="54"/>
      <c r="AE23" s="54"/>
      <c r="AF23" s="54"/>
      <c r="AG23" s="54"/>
      <c r="AH23" s="54"/>
      <c r="AI23" s="54"/>
    </row>
    <row r="24" spans="1:35" s="57" customFormat="1" ht="15.75" x14ac:dyDescent="0.25">
      <c r="A24" s="41" t="str">
        <f xml:space="preserve"> "Unknown - Scottish address " &amp;$B$7</f>
        <v>Unknown - Scottish address All time</v>
      </c>
      <c r="B24" s="135">
        <f>VLOOKUP($A24, 'Table 7 - Full data'!$A$2:$J$91,2,FALSE)</f>
        <v>650</v>
      </c>
      <c r="C24" s="141">
        <f>VLOOKUP($A24,'Table 7 - Full data'!$A$2:$J$91,3,FALSE)</f>
        <v>0</v>
      </c>
      <c r="D24" s="134">
        <f>VLOOKUP($A24,'Table 7 - Full data'!$A$2:$J$91,4,FALSE)</f>
        <v>625</v>
      </c>
      <c r="E24" s="134">
        <f>VLOOKUP($A24,'Table 7 - Full data'!$A$2:$J$91,5,FALSE)</f>
        <v>445</v>
      </c>
      <c r="F24" s="134">
        <f>VLOOKUP($A24,'Table 7 - Full data'!$A$2:$J$91,6,FALSE)</f>
        <v>145</v>
      </c>
      <c r="G24" s="134">
        <f>VLOOKUP($A24,'Table 7 - Full data'!$A$2:$J$91,7,FALSE)</f>
        <v>35</v>
      </c>
      <c r="H24" s="141">
        <f>VLOOKUP($A24,'Table 7 - Full data'!$A$2:$J$91,8,FALSE)</f>
        <v>0.71</v>
      </c>
      <c r="I24" s="141">
        <f>VLOOKUP($A24,'Table 7 - Full data'!$A$2:$J$91,9,FALSE)</f>
        <v>0.23</v>
      </c>
      <c r="J24" s="141">
        <f>VLOOKUP($A24,'Table 7 - Full data'!$A$2:$J$91,10,FALSE)</f>
        <v>0.06</v>
      </c>
      <c r="K24" s="56"/>
      <c r="L24" s="56"/>
      <c r="M24" s="56"/>
      <c r="N24" s="56"/>
      <c r="O24" s="56"/>
      <c r="P24" s="56"/>
      <c r="Q24" s="56"/>
      <c r="W24" s="54"/>
      <c r="X24" s="54"/>
      <c r="Y24" s="54"/>
      <c r="Z24" s="54"/>
      <c r="AA24" s="54"/>
      <c r="AB24" s="54"/>
      <c r="AC24" s="54"/>
      <c r="AD24" s="54"/>
      <c r="AE24" s="54"/>
      <c r="AF24" s="54"/>
      <c r="AG24" s="54"/>
      <c r="AH24" s="54"/>
      <c r="AI24" s="54"/>
    </row>
    <row r="25" spans="1:35" s="77" customFormat="1" ht="15.75" x14ac:dyDescent="0.25">
      <c r="A25" s="41" t="str">
        <f xml:space="preserve"> "Non-Scottish postcode " &amp;$B$7</f>
        <v>Non-Scottish postcode All time</v>
      </c>
      <c r="B25" s="135">
        <f>VLOOKUP($A25, 'Table 7 - Full data'!$A$2:$J$91,2,FALSE)</f>
        <v>1915</v>
      </c>
      <c r="C25" s="141">
        <f>VLOOKUP($A25,'Table 7 - Full data'!$A$2:$J$91,3,FALSE)</f>
        <v>0.1</v>
      </c>
      <c r="D25" s="134">
        <f>VLOOKUP($A25,'Table 7 - Full data'!$A$2:$J$91,4,FALSE)</f>
        <v>1875</v>
      </c>
      <c r="E25" s="134">
        <f>VLOOKUP($A25,'Table 7 - Full data'!$A$2:$J$91,5,FALSE)</f>
        <v>25</v>
      </c>
      <c r="F25" s="134">
        <f>VLOOKUP($A25,'Table 7 - Full data'!$A$2:$J$91,6,FALSE)</f>
        <v>1845</v>
      </c>
      <c r="G25" s="134">
        <f>VLOOKUP($A25,'Table 7 - Full data'!$A$2:$J$91,7,FALSE)</f>
        <v>5</v>
      </c>
      <c r="H25" s="141">
        <f>VLOOKUP($A25,'Table 7 - Full data'!$A$2:$J$91,8,FALSE)</f>
        <v>0.01</v>
      </c>
      <c r="I25" s="141">
        <f>VLOOKUP($A25,'Table 7 - Full data'!$A$2:$J$91,9,FALSE)</f>
        <v>0.98</v>
      </c>
      <c r="J25" s="141">
        <f>VLOOKUP($A25,'Table 7 - Full data'!$A$2:$J$91,10,FALSE)</f>
        <v>0</v>
      </c>
      <c r="K25" s="107"/>
      <c r="L25" s="107"/>
      <c r="M25" s="107"/>
      <c r="N25" s="107"/>
      <c r="O25" s="107"/>
      <c r="P25" s="107"/>
      <c r="Q25" s="107"/>
      <c r="W25" s="54"/>
      <c r="X25" s="54"/>
      <c r="Y25" s="54"/>
      <c r="Z25" s="54"/>
      <c r="AA25" s="54"/>
      <c r="AB25" s="54"/>
      <c r="AC25" s="54"/>
      <c r="AD25" s="54"/>
      <c r="AE25" s="54"/>
      <c r="AF25" s="54"/>
      <c r="AG25" s="54"/>
      <c r="AH25" s="54"/>
      <c r="AI25" s="54"/>
    </row>
    <row r="26" spans="1:35" s="57" customFormat="1" ht="15.75" x14ac:dyDescent="0.25">
      <c r="A26" s="41" t="str">
        <f xml:space="preserve"> "No address " &amp;$B$7</f>
        <v>No address All time</v>
      </c>
      <c r="B26" s="135">
        <f>VLOOKUP($A26, 'Table 7 - Full data'!$A$2:$J$91,2,FALSE)</f>
        <v>555</v>
      </c>
      <c r="C26" s="141">
        <f>VLOOKUP($A26,'Table 7 - Full data'!$A$2:$J$91,3,FALSE)</f>
        <v>0</v>
      </c>
      <c r="D26" s="134">
        <f>VLOOKUP($A26,'Table 7 - Full data'!$A$2:$J$91,4,FALSE)</f>
        <v>310</v>
      </c>
      <c r="E26" s="134">
        <f>VLOOKUP($A26,'Table 7 - Full data'!$A$2:$J$91,5,FALSE)</f>
        <v>35</v>
      </c>
      <c r="F26" s="134">
        <f>VLOOKUP($A26,'Table 7 - Full data'!$A$2:$J$91,6,FALSE)</f>
        <v>15</v>
      </c>
      <c r="G26" s="134">
        <f>VLOOKUP($A26,'Table 7 - Full data'!$A$2:$J$91,7,FALSE)</f>
        <v>260</v>
      </c>
      <c r="H26" s="141">
        <f>VLOOKUP($A26,'Table 7 - Full data'!$A$2:$J$91,8,FALSE)</f>
        <v>0.12</v>
      </c>
      <c r="I26" s="141">
        <f>VLOOKUP($A26,'Table 7 - Full data'!$A$2:$J$91,9,FALSE)</f>
        <v>0.05</v>
      </c>
      <c r="J26" s="141">
        <f>VLOOKUP($A26,'Table 7 - Full data'!$A$2:$J$91,10,FALSE)</f>
        <v>0.83</v>
      </c>
      <c r="K26" s="56"/>
      <c r="L26" s="56"/>
      <c r="M26" s="56"/>
      <c r="N26" s="56"/>
      <c r="O26" s="56"/>
      <c r="P26" s="56"/>
      <c r="Q26" s="56"/>
      <c r="W26" s="54"/>
      <c r="X26" s="54"/>
      <c r="Y26" s="54"/>
      <c r="Z26" s="54"/>
      <c r="AA26" s="54"/>
      <c r="AB26" s="54"/>
      <c r="AC26" s="54"/>
      <c r="AD26" s="54"/>
      <c r="AE26" s="54"/>
      <c r="AF26" s="54"/>
      <c r="AG26" s="54"/>
      <c r="AH26" s="54"/>
      <c r="AI26" s="54"/>
    </row>
    <row r="27" spans="1:35" ht="21.6" customHeight="1" x14ac:dyDescent="0.25">
      <c r="A27" s="56" t="s">
        <v>8</v>
      </c>
      <c r="B27" s="56"/>
      <c r="C27" s="56"/>
      <c r="D27" s="56"/>
      <c r="E27" s="56"/>
      <c r="F27" s="56"/>
      <c r="G27" s="56"/>
      <c r="H27" s="56"/>
      <c r="I27" s="56"/>
      <c r="J27" s="56"/>
      <c r="K27" s="27"/>
      <c r="L27" s="27"/>
      <c r="M27" s="27"/>
      <c r="N27" s="27"/>
      <c r="O27" s="27"/>
      <c r="P27" s="27"/>
      <c r="Q27" s="27"/>
    </row>
    <row r="28" spans="1:35" ht="15.75" x14ac:dyDescent="0.25">
      <c r="A28" s="64" t="s">
        <v>64</v>
      </c>
      <c r="B28" s="56"/>
      <c r="C28" s="56"/>
      <c r="D28" s="56"/>
      <c r="E28" s="56"/>
      <c r="F28" s="56"/>
      <c r="G28" s="56"/>
      <c r="H28" s="56"/>
      <c r="I28" s="56"/>
      <c r="J28" s="56"/>
      <c r="K28" s="27"/>
      <c r="L28" s="27"/>
      <c r="M28" s="27"/>
      <c r="N28" s="27"/>
      <c r="O28" s="27"/>
      <c r="P28" s="27"/>
      <c r="Q28" s="27"/>
    </row>
    <row r="29" spans="1:35" ht="15.75" x14ac:dyDescent="0.25">
      <c r="A29" s="45" t="s">
        <v>586</v>
      </c>
      <c r="B29" s="45"/>
      <c r="C29" s="45"/>
      <c r="D29" s="45"/>
      <c r="E29" s="45"/>
      <c r="F29" s="45"/>
      <c r="G29" s="45"/>
      <c r="H29" s="45"/>
      <c r="I29" s="45"/>
      <c r="J29" s="45"/>
      <c r="K29" s="45"/>
      <c r="L29" s="45"/>
      <c r="M29" s="11"/>
    </row>
    <row r="30" spans="1:35" ht="15.75" x14ac:dyDescent="0.25">
      <c r="A30" s="45" t="s">
        <v>587</v>
      </c>
      <c r="B30" s="45"/>
      <c r="C30" s="45"/>
      <c r="D30" s="45"/>
      <c r="E30" s="45"/>
      <c r="F30" s="45"/>
      <c r="G30" s="45"/>
      <c r="H30" s="45"/>
      <c r="I30" s="45"/>
      <c r="J30" s="45"/>
      <c r="K30" s="45"/>
      <c r="L30" s="45"/>
      <c r="M30" s="11"/>
    </row>
    <row r="31" spans="1:35" ht="15.75" x14ac:dyDescent="0.25">
      <c r="A31" s="46" t="s">
        <v>600</v>
      </c>
      <c r="B31" s="45"/>
      <c r="C31" s="45"/>
      <c r="D31" s="45"/>
      <c r="E31" s="45"/>
      <c r="F31" s="45"/>
      <c r="G31" s="45"/>
      <c r="H31" s="45"/>
      <c r="I31" s="45"/>
      <c r="J31" s="45"/>
      <c r="K31" s="45"/>
      <c r="L31" s="45"/>
      <c r="M31" s="11"/>
    </row>
    <row r="32" spans="1:35" ht="15.75" x14ac:dyDescent="0.25">
      <c r="A32" s="200" t="s">
        <v>753</v>
      </c>
      <c r="B32" s="45"/>
      <c r="C32" s="45"/>
      <c r="D32" s="45"/>
      <c r="E32" s="45"/>
      <c r="F32" s="45"/>
      <c r="G32" s="45"/>
      <c r="H32" s="45"/>
      <c r="I32" s="45"/>
      <c r="J32" s="45"/>
      <c r="K32" s="45"/>
      <c r="L32" s="45"/>
      <c r="M32" s="11"/>
    </row>
    <row r="33" spans="1:17" ht="129" customHeight="1" x14ac:dyDescent="0.25">
      <c r="A33" s="129" t="s">
        <v>634</v>
      </c>
      <c r="B33" s="29"/>
      <c r="C33" s="29"/>
      <c r="D33" s="29"/>
      <c r="E33" s="29"/>
      <c r="F33" s="29"/>
      <c r="G33" s="29"/>
      <c r="H33" s="29"/>
      <c r="I33" s="29"/>
      <c r="J33" s="29"/>
      <c r="K33" s="27"/>
      <c r="L33" s="27"/>
      <c r="M33" s="27"/>
      <c r="N33" s="27"/>
      <c r="O33" s="27"/>
      <c r="P33" s="27"/>
      <c r="Q33" s="27"/>
    </row>
    <row r="34" spans="1:17" ht="130.5" customHeight="1" x14ac:dyDescent="0.25">
      <c r="A34" s="44" t="s">
        <v>616</v>
      </c>
      <c r="B34" s="56"/>
      <c r="C34" s="56"/>
      <c r="D34" s="56"/>
      <c r="E34" s="56"/>
      <c r="F34" s="56"/>
      <c r="G34" s="56"/>
      <c r="H34" s="56"/>
      <c r="I34" s="56"/>
      <c r="J34" s="56"/>
      <c r="K34" s="27"/>
      <c r="L34" s="27"/>
      <c r="M34" s="27"/>
      <c r="N34" s="27"/>
      <c r="O34" s="27"/>
      <c r="P34" s="27"/>
      <c r="Q34" s="27"/>
    </row>
    <row r="35" spans="1:17" ht="15.75" x14ac:dyDescent="0.25">
      <c r="A35" s="204" t="s">
        <v>635</v>
      </c>
      <c r="B35" s="56"/>
      <c r="C35" s="56"/>
      <c r="D35" s="56"/>
      <c r="E35" s="56"/>
      <c r="F35" s="56"/>
      <c r="G35" s="56"/>
      <c r="H35" s="56"/>
      <c r="I35" s="56"/>
      <c r="J35" s="56"/>
      <c r="K35" s="27"/>
      <c r="L35" s="27"/>
      <c r="M35" s="27"/>
      <c r="N35" s="27"/>
      <c r="O35" s="27"/>
      <c r="P35" s="27"/>
      <c r="Q35" s="27"/>
    </row>
    <row r="36" spans="1:17" ht="15.75" x14ac:dyDescent="0.25">
      <c r="A36" s="204" t="s">
        <v>612</v>
      </c>
      <c r="B36" s="27"/>
      <c r="C36" s="27"/>
      <c r="D36" s="27"/>
      <c r="E36" s="27"/>
      <c r="F36" s="27"/>
      <c r="G36" s="27"/>
      <c r="H36" s="27"/>
      <c r="I36" s="27"/>
      <c r="J36" s="27"/>
      <c r="K36" s="27"/>
      <c r="L36" s="27"/>
      <c r="M36" s="27"/>
      <c r="N36" s="27"/>
      <c r="O36" s="27"/>
      <c r="P36" s="27"/>
      <c r="Q36" s="27"/>
    </row>
    <row r="37" spans="1:17" ht="15.75" x14ac:dyDescent="0.25">
      <c r="A37" s="37" t="s">
        <v>613</v>
      </c>
      <c r="B37" s="27"/>
      <c r="C37" s="27"/>
      <c r="D37" s="27"/>
      <c r="E37" s="27"/>
      <c r="F37" s="27"/>
      <c r="G37" s="27"/>
      <c r="H37" s="27"/>
      <c r="I37" s="27"/>
      <c r="J37" s="27"/>
      <c r="K37" s="27"/>
      <c r="L37" s="27"/>
      <c r="M37" s="27"/>
      <c r="N37" s="27"/>
      <c r="O37" s="27"/>
      <c r="P37" s="27"/>
      <c r="Q37" s="27"/>
    </row>
    <row r="38" spans="1:17" ht="15.75" x14ac:dyDescent="0.25">
      <c r="A38" s="37" t="s">
        <v>614</v>
      </c>
      <c r="B38" s="27"/>
      <c r="C38" s="27"/>
      <c r="D38" s="27"/>
      <c r="E38" s="27"/>
      <c r="F38" s="27"/>
      <c r="G38" s="27"/>
      <c r="H38" s="27"/>
      <c r="I38" s="27"/>
      <c r="J38" s="27"/>
      <c r="K38" s="27"/>
      <c r="L38" s="27"/>
      <c r="M38" s="27"/>
      <c r="N38" s="27"/>
      <c r="O38" s="27"/>
      <c r="P38" s="27"/>
      <c r="Q38" s="27"/>
    </row>
    <row r="39" spans="1:17" ht="15.75" x14ac:dyDescent="0.25">
      <c r="A39" s="37" t="s">
        <v>615</v>
      </c>
      <c r="B39" s="27"/>
      <c r="C39" s="27"/>
      <c r="D39" s="27"/>
      <c r="E39" s="27"/>
      <c r="F39" s="27"/>
      <c r="G39" s="27"/>
      <c r="H39" s="27"/>
      <c r="I39" s="27"/>
      <c r="J39" s="27"/>
      <c r="K39" s="27"/>
      <c r="L39" s="27"/>
      <c r="M39" s="27"/>
      <c r="N39" s="27"/>
      <c r="O39" s="27"/>
      <c r="P39" s="27"/>
      <c r="Q39" s="27"/>
    </row>
    <row r="40" spans="1:17" ht="15.75" x14ac:dyDescent="0.25">
      <c r="A40" s="204" t="s">
        <v>9</v>
      </c>
      <c r="B40" s="27"/>
      <c r="C40" s="27"/>
      <c r="D40" s="27"/>
      <c r="E40" s="27"/>
      <c r="F40" s="27"/>
      <c r="G40" s="27"/>
      <c r="H40" s="27"/>
      <c r="I40" s="27"/>
      <c r="J40" s="27"/>
      <c r="K40" s="27"/>
      <c r="L40" s="27"/>
      <c r="M40" s="27"/>
      <c r="N40" s="27"/>
      <c r="O40" s="27"/>
      <c r="P40" s="27"/>
      <c r="Q40" s="27"/>
    </row>
    <row r="41" spans="1:17" ht="15.75" x14ac:dyDescent="0.25">
      <c r="B41" s="27"/>
      <c r="C41" s="27"/>
      <c r="D41" s="27"/>
      <c r="E41" s="27"/>
      <c r="F41" s="27"/>
      <c r="G41" s="27"/>
      <c r="H41" s="27"/>
      <c r="I41" s="27"/>
      <c r="J41" s="27"/>
    </row>
    <row r="42" spans="1:17" ht="15.75" x14ac:dyDescent="0.25">
      <c r="B42" s="27"/>
      <c r="C42" s="27"/>
      <c r="D42" s="27"/>
      <c r="E42" s="27"/>
      <c r="F42" s="27"/>
      <c r="G42" s="27"/>
      <c r="H42" s="27"/>
      <c r="I42" s="27"/>
      <c r="J42" s="27"/>
    </row>
    <row r="43" spans="1:17" ht="15.75" x14ac:dyDescent="0.25">
      <c r="B43" s="27"/>
      <c r="C43" s="27"/>
      <c r="D43" s="27"/>
      <c r="E43" s="27"/>
      <c r="F43" s="27"/>
      <c r="G43" s="27"/>
      <c r="H43" s="27"/>
      <c r="I43" s="27"/>
      <c r="J43" s="27"/>
    </row>
    <row r="44" spans="1:17" ht="15.75" x14ac:dyDescent="0.25">
      <c r="B44" s="27"/>
      <c r="C44" s="27"/>
      <c r="D44" s="27"/>
      <c r="E44" s="27"/>
      <c r="F44" s="27"/>
      <c r="G44" s="27"/>
      <c r="H44" s="27"/>
      <c r="I44" s="27"/>
      <c r="J44" s="27"/>
    </row>
    <row r="48" spans="1:17" x14ac:dyDescent="0.25">
      <c r="B48" s="57"/>
      <c r="C48" s="57"/>
      <c r="D48" s="57"/>
      <c r="E48" s="57"/>
      <c r="F48" s="57"/>
      <c r="G48" s="57"/>
      <c r="H48" s="57"/>
      <c r="I48" s="57"/>
      <c r="J48" s="57"/>
    </row>
  </sheetData>
  <sheetProtection sheet="1" objects="1" scenarios="1"/>
  <protectedRanges>
    <protectedRange sqref="B7" name="Range1"/>
  </protectedRanges>
  <mergeCells count="5">
    <mergeCell ref="W7:X8"/>
    <mergeCell ref="Y7:Z7"/>
    <mergeCell ref="AA7:AG7"/>
    <mergeCell ref="W10:X10"/>
    <mergeCell ref="W12:W19"/>
  </mergeCells>
  <conditionalFormatting sqref="AE10:AG19">
    <cfRule type="dataBar" priority="10">
      <dataBar>
        <cfvo type="num" val="0"/>
        <cfvo type="num" val="1"/>
        <color theme="4" tint="-0.249977111117893"/>
      </dataBar>
      <extLst>
        <ext xmlns:x14="http://schemas.microsoft.com/office/spreadsheetml/2009/9/main" uri="{B025F937-C7B1-47D3-B67F-A62EFF666E3E}">
          <x14:id>{F4643818-47D3-4C1B-A9B4-E23301993BDC}</x14:id>
        </ext>
      </extLst>
    </cfRule>
  </conditionalFormatting>
  <conditionalFormatting sqref="Z10:Z19">
    <cfRule type="dataBar" priority="9">
      <dataBar>
        <cfvo type="num" val="0"/>
        <cfvo type="num" val="1"/>
        <color theme="4" tint="-0.249977111117893"/>
      </dataBar>
      <extLst>
        <ext xmlns:x14="http://schemas.microsoft.com/office/spreadsheetml/2009/9/main" uri="{B025F937-C7B1-47D3-B67F-A62EFF666E3E}">
          <x14:id>{CBFE9494-3FAC-40E1-9834-964B3D06FC8D}</x14:id>
        </ext>
      </extLst>
    </cfRule>
  </conditionalFormatting>
  <conditionalFormatting sqref="H24:J24 C24 C9:C22 H9:J22">
    <cfRule type="dataBar" priority="5">
      <dataBar>
        <cfvo type="num" val="0"/>
        <cfvo type="num" val="1"/>
        <color rgb="FFB4A9D4"/>
      </dataBar>
      <extLst>
        <ext xmlns:x14="http://schemas.microsoft.com/office/spreadsheetml/2009/9/main" uri="{B025F937-C7B1-47D3-B67F-A62EFF666E3E}">
          <x14:id>{E4FA068A-6ABC-4037-B49E-3D0578CBDE97}</x14:id>
        </ext>
      </extLst>
    </cfRule>
  </conditionalFormatting>
  <conditionalFormatting sqref="H23:J23 C23">
    <cfRule type="dataBar" priority="4">
      <dataBar>
        <cfvo type="num" val="0"/>
        <cfvo type="num" val="1"/>
        <color rgb="FFB4A9D4"/>
      </dataBar>
      <extLst>
        <ext xmlns:x14="http://schemas.microsoft.com/office/spreadsheetml/2009/9/main" uri="{B025F937-C7B1-47D3-B67F-A62EFF666E3E}">
          <x14:id>{0E9EC4BF-23B8-4E2A-B9B9-53DC60EE7F11}</x14:id>
        </ext>
      </extLst>
    </cfRule>
  </conditionalFormatting>
  <conditionalFormatting sqref="H25:J25 C25">
    <cfRule type="dataBar" priority="3">
      <dataBar>
        <cfvo type="num" val="0"/>
        <cfvo type="num" val="1"/>
        <color rgb="FFB4A9D4"/>
      </dataBar>
      <extLst>
        <ext xmlns:x14="http://schemas.microsoft.com/office/spreadsheetml/2009/9/main" uri="{B025F937-C7B1-47D3-B67F-A62EFF666E3E}">
          <x14:id>{419A6964-D493-495C-B1E9-543EFACACE71}</x14:id>
        </ext>
      </extLst>
    </cfRule>
  </conditionalFormatting>
  <conditionalFormatting sqref="H26:J26 C26">
    <cfRule type="dataBar" priority="2">
      <dataBar>
        <cfvo type="num" val="0"/>
        <cfvo type="num" val="1"/>
        <color rgb="FFB4A9D4"/>
      </dataBar>
      <extLst>
        <ext xmlns:x14="http://schemas.microsoft.com/office/spreadsheetml/2009/9/main" uri="{B025F937-C7B1-47D3-B67F-A62EFF666E3E}">
          <x14:id>{7ADDE6DB-820D-4441-946A-05B826F441D5}</x14:id>
        </ext>
      </extLst>
    </cfRule>
  </conditionalFormatting>
  <conditionalFormatting sqref="M29:M32">
    <cfRule type="dataBar" priority="1">
      <dataBar>
        <cfvo type="min"/>
        <cfvo type="max"/>
        <color rgb="FF638EC6"/>
      </dataBar>
      <extLst>
        <ext xmlns:x14="http://schemas.microsoft.com/office/spreadsheetml/2009/9/main" uri="{B025F937-C7B1-47D3-B67F-A62EFF666E3E}">
          <x14:id>{4CB9EEC0-226C-49ED-8B2E-B019CE6250EC}</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4643818-47D3-4C1B-A9B4-E23301993BDC}">
            <x14:dataBar minLength="0" maxLength="100" border="1">
              <x14:cfvo type="num">
                <xm:f>0</xm:f>
              </x14:cfvo>
              <x14:cfvo type="num">
                <xm:f>1</xm:f>
              </x14:cfvo>
              <x14:borderColor theme="8" tint="0.39997558519241921"/>
              <x14:negativeFillColor rgb="FFFF0000"/>
              <x14:axisColor rgb="FF000000"/>
            </x14:dataBar>
          </x14:cfRule>
          <xm:sqref>AE10:AG19</xm:sqref>
        </x14:conditionalFormatting>
        <x14:conditionalFormatting xmlns:xm="http://schemas.microsoft.com/office/excel/2006/main">
          <x14:cfRule type="dataBar" id="{CBFE9494-3FAC-40E1-9834-964B3D06FC8D}">
            <x14:dataBar minLength="0" maxLength="100" border="1">
              <x14:cfvo type="num">
                <xm:f>0</xm:f>
              </x14:cfvo>
              <x14:cfvo type="num">
                <xm:f>1</xm:f>
              </x14:cfvo>
              <x14:borderColor theme="8" tint="0.39997558519241921"/>
              <x14:negativeFillColor rgb="FFFF0000"/>
              <x14:axisColor rgb="FF000000"/>
            </x14:dataBar>
          </x14:cfRule>
          <xm:sqref>Z10:Z19</xm:sqref>
        </x14:conditionalFormatting>
        <x14:conditionalFormatting xmlns:xm="http://schemas.microsoft.com/office/excel/2006/main">
          <x14:cfRule type="dataBar" id="{E4FA068A-6ABC-4037-B49E-3D0578CBDE97}">
            <x14:dataBar minLength="0" maxLength="100" gradient="0">
              <x14:cfvo type="num">
                <xm:f>0</xm:f>
              </x14:cfvo>
              <x14:cfvo type="num">
                <xm:f>1</xm:f>
              </x14:cfvo>
              <x14:negativeFillColor rgb="FFFF0000"/>
              <x14:axisColor rgb="FF000000"/>
            </x14:dataBar>
          </x14:cfRule>
          <xm:sqref>H24:J24 C24 C9:C22 H9:J22</xm:sqref>
        </x14:conditionalFormatting>
        <x14:conditionalFormatting xmlns:xm="http://schemas.microsoft.com/office/excel/2006/main">
          <x14:cfRule type="dataBar" id="{0E9EC4BF-23B8-4E2A-B9B9-53DC60EE7F11}">
            <x14:dataBar minLength="0" maxLength="100" gradient="0">
              <x14:cfvo type="num">
                <xm:f>0</xm:f>
              </x14:cfvo>
              <x14:cfvo type="num">
                <xm:f>1</xm:f>
              </x14:cfvo>
              <x14:negativeFillColor rgb="FFFF0000"/>
              <x14:axisColor rgb="FF000000"/>
            </x14:dataBar>
          </x14:cfRule>
          <xm:sqref>H23:J23 C23</xm:sqref>
        </x14:conditionalFormatting>
        <x14:conditionalFormatting xmlns:xm="http://schemas.microsoft.com/office/excel/2006/main">
          <x14:cfRule type="dataBar" id="{419A6964-D493-495C-B1E9-543EFACACE71}">
            <x14:dataBar minLength="0" maxLength="100" gradient="0">
              <x14:cfvo type="num">
                <xm:f>0</xm:f>
              </x14:cfvo>
              <x14:cfvo type="num">
                <xm:f>1</xm:f>
              </x14:cfvo>
              <x14:negativeFillColor rgb="FFFF0000"/>
              <x14:axisColor rgb="FF000000"/>
            </x14:dataBar>
          </x14:cfRule>
          <xm:sqref>H25:J25 C25</xm:sqref>
        </x14:conditionalFormatting>
        <x14:conditionalFormatting xmlns:xm="http://schemas.microsoft.com/office/excel/2006/main">
          <x14:cfRule type="dataBar" id="{7ADDE6DB-820D-4441-946A-05B826F441D5}">
            <x14:dataBar minLength="0" maxLength="100" gradient="0">
              <x14:cfvo type="num">
                <xm:f>0</xm:f>
              </x14:cfvo>
              <x14:cfvo type="num">
                <xm:f>1</xm:f>
              </x14:cfvo>
              <x14:negativeFillColor rgb="FFFF0000"/>
              <x14:axisColor rgb="FF000000"/>
            </x14:dataBar>
          </x14:cfRule>
          <xm:sqref>H26:J26 C26</xm:sqref>
        </x14:conditionalFormatting>
        <x14:conditionalFormatting xmlns:xm="http://schemas.microsoft.com/office/excel/2006/main">
          <x14:cfRule type="dataBar" id="{4CB9EEC0-226C-49ED-8B2E-B019CE6250EC}">
            <x14:dataBar minLength="0" maxLength="100" border="1" negativeBarBorderColorSameAsPositive="0">
              <x14:cfvo type="autoMin"/>
              <x14:cfvo type="autoMax"/>
              <x14:borderColor rgb="FF638EC6"/>
              <x14:negativeFillColor rgb="FFFF0000"/>
              <x14:negativeBorderColor rgb="FFFF0000"/>
              <x14:axisColor rgb="FF000000"/>
            </x14:dataBar>
          </x14:cfRule>
          <xm:sqref>M29:M32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7 - Full data'!$L$2:$L$6</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58"/>
  <sheetViews>
    <sheetView zoomScale="75" zoomScaleNormal="75" workbookViewId="0"/>
  </sheetViews>
  <sheetFormatPr defaultRowHeight="15" x14ac:dyDescent="0.25"/>
  <cols>
    <col min="1" max="1" width="54.5703125" customWidth="1"/>
    <col min="2" max="8" width="19.28515625" customWidth="1"/>
    <col min="9" max="13" width="26.5703125" customWidth="1"/>
  </cols>
  <sheetData>
    <row r="1" spans="1:15" ht="21" x14ac:dyDescent="0.35">
      <c r="A1" s="21" t="s">
        <v>46</v>
      </c>
      <c r="B1" s="21"/>
      <c r="C1" s="21"/>
      <c r="D1" s="21"/>
      <c r="E1" s="21"/>
      <c r="F1" s="21"/>
      <c r="G1" s="21"/>
      <c r="H1" s="23"/>
      <c r="I1" s="23"/>
      <c r="J1" s="23"/>
      <c r="K1" s="22"/>
      <c r="L1" s="22"/>
      <c r="M1" s="22"/>
      <c r="N1" s="22"/>
      <c r="O1" s="22"/>
    </row>
    <row r="2" spans="1:15" ht="15.75" x14ac:dyDescent="0.25">
      <c r="A2" s="37" t="s">
        <v>771</v>
      </c>
      <c r="B2" s="63"/>
      <c r="C2" s="63"/>
      <c r="D2" s="63"/>
      <c r="E2" s="63"/>
      <c r="F2" s="63"/>
      <c r="G2" s="63"/>
      <c r="H2" s="30"/>
      <c r="I2" s="30"/>
      <c r="J2" s="30"/>
      <c r="K2" s="70"/>
      <c r="L2" s="70"/>
      <c r="M2" s="70"/>
      <c r="N2" s="70"/>
      <c r="O2" s="70"/>
    </row>
    <row r="3" spans="1:15" ht="15.75" x14ac:dyDescent="0.25">
      <c r="A3" s="26" t="s">
        <v>68</v>
      </c>
      <c r="B3" s="63"/>
      <c r="C3" s="63"/>
      <c r="D3" s="63"/>
      <c r="E3" s="63"/>
      <c r="F3" s="63"/>
      <c r="G3" s="63"/>
      <c r="H3" s="30"/>
      <c r="I3" s="30"/>
      <c r="J3" s="30"/>
      <c r="K3" s="70"/>
      <c r="L3" s="70"/>
      <c r="M3" s="70"/>
      <c r="N3" s="70"/>
      <c r="O3" s="70"/>
    </row>
    <row r="4" spans="1:15" s="198" customFormat="1" ht="15.95" customHeight="1" x14ac:dyDescent="0.35">
      <c r="A4" s="222" t="s">
        <v>745</v>
      </c>
      <c r="B4" s="223"/>
      <c r="C4" s="223"/>
      <c r="D4" s="223"/>
      <c r="E4" s="223"/>
      <c r="F4" s="223"/>
      <c r="G4" s="223"/>
      <c r="H4" s="224"/>
      <c r="I4" s="224"/>
      <c r="J4" s="224"/>
      <c r="K4" s="224"/>
    </row>
    <row r="5" spans="1:15" s="198" customFormat="1" ht="15.95" customHeight="1" x14ac:dyDescent="0.35">
      <c r="A5" s="222" t="s">
        <v>746</v>
      </c>
      <c r="B5" s="223"/>
      <c r="C5" s="223"/>
      <c r="D5" s="223"/>
      <c r="E5" s="223"/>
      <c r="F5" s="223"/>
      <c r="G5" s="223"/>
      <c r="H5" s="224"/>
      <c r="I5" s="224"/>
      <c r="J5" s="224"/>
      <c r="K5" s="224"/>
    </row>
    <row r="6" spans="1:15" ht="15.75" x14ac:dyDescent="0.25">
      <c r="A6" s="26" t="s">
        <v>752</v>
      </c>
      <c r="B6" s="63"/>
      <c r="C6" s="63"/>
      <c r="D6" s="63"/>
      <c r="E6" s="63"/>
      <c r="F6" s="63"/>
      <c r="G6" s="63"/>
      <c r="H6" s="30"/>
      <c r="I6" s="30"/>
      <c r="J6" s="30"/>
      <c r="K6" s="27"/>
      <c r="L6" s="27"/>
      <c r="M6" s="27"/>
      <c r="N6" s="27"/>
      <c r="O6" s="27"/>
    </row>
    <row r="7" spans="1:15" ht="33" customHeight="1" x14ac:dyDescent="0.25">
      <c r="A7" s="202" t="s">
        <v>702</v>
      </c>
      <c r="B7" s="203" t="s">
        <v>222</v>
      </c>
      <c r="C7" s="61"/>
      <c r="D7" s="27"/>
      <c r="E7" s="27"/>
      <c r="F7" s="27"/>
      <c r="G7" s="27"/>
      <c r="H7" s="27"/>
      <c r="I7" s="27"/>
      <c r="J7" s="27"/>
      <c r="K7" s="27"/>
      <c r="L7" s="27"/>
      <c r="M7" s="27"/>
      <c r="N7" s="27"/>
      <c r="O7" s="27"/>
    </row>
    <row r="8" spans="1:15" ht="84" customHeight="1" x14ac:dyDescent="0.25">
      <c r="A8" s="68" t="s">
        <v>633</v>
      </c>
      <c r="B8" s="32" t="s">
        <v>618</v>
      </c>
      <c r="C8" s="32" t="s">
        <v>314</v>
      </c>
      <c r="D8" s="32" t="s">
        <v>622</v>
      </c>
      <c r="E8" s="32" t="s">
        <v>623</v>
      </c>
      <c r="F8" s="32" t="s">
        <v>624</v>
      </c>
      <c r="G8" s="32" t="s">
        <v>632</v>
      </c>
      <c r="H8" s="32" t="s">
        <v>709</v>
      </c>
      <c r="I8" s="32" t="s">
        <v>712</v>
      </c>
      <c r="J8" s="69" t="s">
        <v>626</v>
      </c>
      <c r="K8" s="69" t="s">
        <v>627</v>
      </c>
      <c r="L8" s="69" t="s">
        <v>713</v>
      </c>
      <c r="M8" s="69" t="s">
        <v>628</v>
      </c>
      <c r="N8" s="68"/>
      <c r="O8" s="27"/>
    </row>
    <row r="9" spans="1:15" ht="15.75" x14ac:dyDescent="0.25">
      <c r="A9" s="154" t="str">
        <f xml:space="preserve"> "Total " &amp;$B$7</f>
        <v>Total All time</v>
      </c>
      <c r="B9" s="180">
        <f>VLOOKUP($A9, 'Table 8 - Full data'!$A$2:$M$91,2,FALSE)</f>
        <v>323915</v>
      </c>
      <c r="C9" s="116">
        <f>VLOOKUP($A9, 'Table 8 - Full data'!$A$2:$M$91,3,FALSE)</f>
        <v>1</v>
      </c>
      <c r="D9" s="163">
        <f>VLOOKUP($A9, 'Table 8 - Full data'!$A$2:$M$91,4,FALSE)</f>
        <v>109220</v>
      </c>
      <c r="E9" s="163">
        <f>VLOOKUP($A9, 'Table 8 - Full data'!$A$2:$M$91,5,FALSE)</f>
        <v>105040</v>
      </c>
      <c r="F9" s="163">
        <f>VLOOKUP($A9, 'Table 8 - Full data'!$A$2:$M$91,6,FALSE)</f>
        <v>80270</v>
      </c>
      <c r="G9" s="163">
        <f>VLOOKUP($A9, 'Table 8 - Full data'!$A$2:$M$91,7,FALSE)</f>
        <v>170840</v>
      </c>
      <c r="H9" s="163">
        <f>VLOOKUP($A9, 'Table 8 - Full data'!$A$2:$M$91,8,FALSE)</f>
        <v>35295</v>
      </c>
      <c r="I9" s="116">
        <f>VLOOKUP($A9, 'Table 8 - Full data'!$A$2:$M$91,9,FALSE)</f>
        <v>0.34</v>
      </c>
      <c r="J9" s="116">
        <f>VLOOKUP($A9, 'Table 8 - Full data'!$A$2:$M$91,10,FALSE)</f>
        <v>0.32</v>
      </c>
      <c r="K9" s="116">
        <f>VLOOKUP($A9, 'Table 8 - Full data'!$A$2:$M$91,11,FALSE)</f>
        <v>0.25</v>
      </c>
      <c r="L9" s="116">
        <f>VLOOKUP($A9, 'Table 8 - Full data'!$A$2:$M$91,12,FALSE)</f>
        <v>0.53</v>
      </c>
      <c r="M9" s="116">
        <f>VLOOKUP($A9, 'Table 8 - Full data'!$A$2:$M$91,13,FALSE)</f>
        <v>0.11</v>
      </c>
      <c r="N9" s="27"/>
      <c r="O9" s="27"/>
    </row>
    <row r="10" spans="1:15" ht="15.75" x14ac:dyDescent="0.25">
      <c r="A10" s="41" t="str">
        <f xml:space="preserve"> "Ayrshire and Arran " &amp;$B$7</f>
        <v>Ayrshire and Arran All time</v>
      </c>
      <c r="B10" s="135">
        <f>VLOOKUP($A10, 'Table 8 - Full data'!$A$2:$M$91,2,FALSE)</f>
        <v>26345</v>
      </c>
      <c r="C10" s="141">
        <f>VLOOKUP($A10, 'Table 8 - Full data'!$A$2:$M$91,3,FALSE)</f>
        <v>0.08</v>
      </c>
      <c r="D10" s="134">
        <f>VLOOKUP($A10, 'Table 8 - Full data'!$A$2:$M$91,4,FALSE)</f>
        <v>8510</v>
      </c>
      <c r="E10" s="134">
        <f>VLOOKUP($A10, 'Table 8 - Full data'!$A$2:$M$91,5,FALSE)</f>
        <v>8705</v>
      </c>
      <c r="F10" s="134">
        <f>VLOOKUP($A10, 'Table 8 - Full data'!$A$2:$M$91,6,FALSE)</f>
        <v>6615</v>
      </c>
      <c r="G10" s="134">
        <f>VLOOKUP($A10, 'Table 8 - Full data'!$A$2:$M$91,7,FALSE)</f>
        <v>13780</v>
      </c>
      <c r="H10" s="134">
        <f>VLOOKUP($A10, 'Table 8 - Full data'!$A$2:$M$91,8,FALSE)</f>
        <v>2935</v>
      </c>
      <c r="I10" s="141">
        <f>VLOOKUP($A10, 'Table 8 - Full data'!$A$2:$M$91,9,FALSE)</f>
        <v>0.32</v>
      </c>
      <c r="J10" s="141">
        <f>VLOOKUP($A10, 'Table 8 - Full data'!$A$2:$M$91,10,FALSE)</f>
        <v>0.33</v>
      </c>
      <c r="K10" s="141">
        <f>VLOOKUP($A10, 'Table 8 - Full data'!$A$2:$M$91,11,FALSE)</f>
        <v>0.25</v>
      </c>
      <c r="L10" s="141">
        <f>VLOOKUP($A10, 'Table 8 - Full data'!$A$2:$M$91,12,FALSE)</f>
        <v>0.52</v>
      </c>
      <c r="M10" s="141">
        <f>VLOOKUP($A10, 'Table 8 - Full data'!$A$2:$M$91,13,FALSE)</f>
        <v>0.11</v>
      </c>
      <c r="N10" s="27"/>
      <c r="O10" s="27"/>
    </row>
    <row r="11" spans="1:15" ht="15.75" x14ac:dyDescent="0.25">
      <c r="A11" s="41" t="str">
        <f xml:space="preserve"> "Borders " &amp;$B$7</f>
        <v>Borders All time</v>
      </c>
      <c r="B11" s="135">
        <f>VLOOKUP($A11, 'Table 8 - Full data'!$A$2:$M$91,2,FALSE)</f>
        <v>5175</v>
      </c>
      <c r="C11" s="141">
        <f>VLOOKUP($A11, 'Table 8 - Full data'!$A$2:$M$91,3,FALSE)</f>
        <v>0.02</v>
      </c>
      <c r="D11" s="134">
        <f>VLOOKUP($A11, 'Table 8 - Full data'!$A$2:$M$91,4,FALSE)</f>
        <v>1680</v>
      </c>
      <c r="E11" s="134">
        <f>VLOOKUP($A11, 'Table 8 - Full data'!$A$2:$M$91,5,FALSE)</f>
        <v>1715</v>
      </c>
      <c r="F11" s="134">
        <f>VLOOKUP($A11, 'Table 8 - Full data'!$A$2:$M$91,6,FALSE)</f>
        <v>1460</v>
      </c>
      <c r="G11" s="134">
        <f>VLOOKUP($A11, 'Table 8 - Full data'!$A$2:$M$91,7,FALSE)</f>
        <v>2680</v>
      </c>
      <c r="H11" s="134">
        <f>VLOOKUP($A11, 'Table 8 - Full data'!$A$2:$M$91,8,FALSE)</f>
        <v>505</v>
      </c>
      <c r="I11" s="141">
        <f>VLOOKUP($A11, 'Table 8 - Full data'!$A$2:$M$91,9,FALSE)</f>
        <v>0.32</v>
      </c>
      <c r="J11" s="141">
        <f>VLOOKUP($A11, 'Table 8 - Full data'!$A$2:$M$91,10,FALSE)</f>
        <v>0.33</v>
      </c>
      <c r="K11" s="141">
        <f>VLOOKUP($A11, 'Table 8 - Full data'!$A$2:$M$91,11,FALSE)</f>
        <v>0.28000000000000003</v>
      </c>
      <c r="L11" s="141">
        <f>VLOOKUP($A11, 'Table 8 - Full data'!$A$2:$M$91,12,FALSE)</f>
        <v>0.52</v>
      </c>
      <c r="M11" s="141">
        <f>VLOOKUP($A11, 'Table 8 - Full data'!$A$2:$M$91,13,FALSE)</f>
        <v>0.1</v>
      </c>
      <c r="N11" s="27"/>
      <c r="O11" s="27"/>
    </row>
    <row r="12" spans="1:15" ht="15.75" x14ac:dyDescent="0.25">
      <c r="A12" s="41" t="str">
        <f xml:space="preserve"> "Dumfries and Galloway " &amp;$B$7</f>
        <v>Dumfries and Galloway All time</v>
      </c>
      <c r="B12" s="135">
        <f>VLOOKUP($A12, 'Table 8 - Full data'!$A$2:$M$91,2,FALSE)</f>
        <v>8240</v>
      </c>
      <c r="C12" s="141">
        <f>VLOOKUP($A12, 'Table 8 - Full data'!$A$2:$M$91,3,FALSE)</f>
        <v>0.03</v>
      </c>
      <c r="D12" s="134">
        <f>VLOOKUP($A12, 'Table 8 - Full data'!$A$2:$M$91,4,FALSE)</f>
        <v>2640</v>
      </c>
      <c r="E12" s="134">
        <f>VLOOKUP($A12, 'Table 8 - Full data'!$A$2:$M$91,5,FALSE)</f>
        <v>2940</v>
      </c>
      <c r="F12" s="134">
        <f>VLOOKUP($A12, 'Table 8 - Full data'!$A$2:$M$91,6,FALSE)</f>
        <v>2175</v>
      </c>
      <c r="G12" s="134">
        <f>VLOOKUP($A12, 'Table 8 - Full data'!$A$2:$M$91,7,FALSE)</f>
        <v>4405</v>
      </c>
      <c r="H12" s="134">
        <f>VLOOKUP($A12, 'Table 8 - Full data'!$A$2:$M$91,8,FALSE)</f>
        <v>815</v>
      </c>
      <c r="I12" s="141">
        <f>VLOOKUP($A12, 'Table 8 - Full data'!$A$2:$M$91,9,FALSE)</f>
        <v>0.32</v>
      </c>
      <c r="J12" s="141">
        <f>VLOOKUP($A12, 'Table 8 - Full data'!$A$2:$M$91,10,FALSE)</f>
        <v>0.36</v>
      </c>
      <c r="K12" s="141">
        <f>VLOOKUP($A12, 'Table 8 - Full data'!$A$2:$M$91,11,FALSE)</f>
        <v>0.26</v>
      </c>
      <c r="L12" s="141">
        <f>VLOOKUP($A12, 'Table 8 - Full data'!$A$2:$M$91,12,FALSE)</f>
        <v>0.53</v>
      </c>
      <c r="M12" s="141">
        <f>VLOOKUP($A12, 'Table 8 - Full data'!$A$2:$M$91,13,FALSE)</f>
        <v>0.1</v>
      </c>
      <c r="N12" s="27"/>
      <c r="O12" s="27"/>
    </row>
    <row r="13" spans="1:15" ht="15.75" x14ac:dyDescent="0.25">
      <c r="A13" s="41" t="str">
        <f xml:space="preserve"> "Fife " &amp;$B$7</f>
        <v>Fife All time</v>
      </c>
      <c r="B13" s="135">
        <f>VLOOKUP($A13, 'Table 8 - Full data'!$A$2:$M$91,2,FALSE)</f>
        <v>23760</v>
      </c>
      <c r="C13" s="141">
        <f>VLOOKUP($A13, 'Table 8 - Full data'!$A$2:$M$91,3,FALSE)</f>
        <v>7.0000000000000007E-2</v>
      </c>
      <c r="D13" s="134">
        <f>VLOOKUP($A13, 'Table 8 - Full data'!$A$2:$M$91,4,FALSE)</f>
        <v>7945</v>
      </c>
      <c r="E13" s="134">
        <f>VLOOKUP($A13, 'Table 8 - Full data'!$A$2:$M$91,5,FALSE)</f>
        <v>8105</v>
      </c>
      <c r="F13" s="134">
        <f>VLOOKUP($A13, 'Table 8 - Full data'!$A$2:$M$91,6,FALSE)</f>
        <v>6060</v>
      </c>
      <c r="G13" s="134">
        <f>VLOOKUP($A13, 'Table 8 - Full data'!$A$2:$M$91,7,FALSE)</f>
        <v>12720</v>
      </c>
      <c r="H13" s="134">
        <f>VLOOKUP($A13, 'Table 8 - Full data'!$A$2:$M$91,8,FALSE)</f>
        <v>2285</v>
      </c>
      <c r="I13" s="141">
        <f>VLOOKUP($A13, 'Table 8 - Full data'!$A$2:$M$91,9,FALSE)</f>
        <v>0.33</v>
      </c>
      <c r="J13" s="141">
        <f>VLOOKUP($A13, 'Table 8 - Full data'!$A$2:$M$91,10,FALSE)</f>
        <v>0.34</v>
      </c>
      <c r="K13" s="141">
        <f>VLOOKUP($A13, 'Table 8 - Full data'!$A$2:$M$91,11,FALSE)</f>
        <v>0.26</v>
      </c>
      <c r="L13" s="141">
        <f>VLOOKUP($A13, 'Table 8 - Full data'!$A$2:$M$91,12,FALSE)</f>
        <v>0.54</v>
      </c>
      <c r="M13" s="141">
        <f>VLOOKUP($A13, 'Table 8 - Full data'!$A$2:$M$91,13,FALSE)</f>
        <v>0.1</v>
      </c>
      <c r="N13" s="27"/>
      <c r="O13" s="27"/>
    </row>
    <row r="14" spans="1:15" ht="15.75" x14ac:dyDescent="0.25">
      <c r="A14" s="41" t="str">
        <f xml:space="preserve"> "Forth Valley " &amp;$B$7</f>
        <v>Forth Valley All time</v>
      </c>
      <c r="B14" s="135">
        <f>VLOOKUP($A14, 'Table 8 - Full data'!$A$2:$M$91,2,FALSE)</f>
        <v>16120</v>
      </c>
      <c r="C14" s="141">
        <f>VLOOKUP($A14, 'Table 8 - Full data'!$A$2:$M$91,3,FALSE)</f>
        <v>0.05</v>
      </c>
      <c r="D14" s="134">
        <f>VLOOKUP($A14, 'Table 8 - Full data'!$A$2:$M$91,4,FALSE)</f>
        <v>5340</v>
      </c>
      <c r="E14" s="134">
        <f>VLOOKUP($A14, 'Table 8 - Full data'!$A$2:$M$91,5,FALSE)</f>
        <v>5340</v>
      </c>
      <c r="F14" s="134">
        <f>VLOOKUP($A14, 'Table 8 - Full data'!$A$2:$M$91,6,FALSE)</f>
        <v>4120</v>
      </c>
      <c r="G14" s="134">
        <f>VLOOKUP($A14, 'Table 8 - Full data'!$A$2:$M$91,7,FALSE)</f>
        <v>8745</v>
      </c>
      <c r="H14" s="134">
        <f>VLOOKUP($A14, 'Table 8 - Full data'!$A$2:$M$91,8,FALSE)</f>
        <v>1605</v>
      </c>
      <c r="I14" s="141">
        <f>VLOOKUP($A14, 'Table 8 - Full data'!$A$2:$M$91,9,FALSE)</f>
        <v>0.33</v>
      </c>
      <c r="J14" s="141">
        <f>VLOOKUP($A14, 'Table 8 - Full data'!$A$2:$M$91,10,FALSE)</f>
        <v>0.33</v>
      </c>
      <c r="K14" s="141">
        <f>VLOOKUP($A14, 'Table 8 - Full data'!$A$2:$M$91,11,FALSE)</f>
        <v>0.26</v>
      </c>
      <c r="L14" s="141">
        <f>VLOOKUP($A14, 'Table 8 - Full data'!$A$2:$M$91,12,FALSE)</f>
        <v>0.54</v>
      </c>
      <c r="M14" s="141">
        <f>VLOOKUP($A14, 'Table 8 - Full data'!$A$2:$M$91,13,FALSE)</f>
        <v>0.1</v>
      </c>
      <c r="N14" s="27"/>
      <c r="O14" s="27"/>
    </row>
    <row r="15" spans="1:15" ht="15.75" x14ac:dyDescent="0.25">
      <c r="A15" s="41" t="str">
        <f xml:space="preserve"> "Grampian " &amp;$B$7</f>
        <v>Grampian All time</v>
      </c>
      <c r="B15" s="135">
        <f>VLOOKUP($A15, 'Table 8 - Full data'!$A$2:$M$91,2,FALSE)</f>
        <v>22495</v>
      </c>
      <c r="C15" s="141">
        <f>VLOOKUP($A15, 'Table 8 - Full data'!$A$2:$M$91,3,FALSE)</f>
        <v>7.0000000000000007E-2</v>
      </c>
      <c r="D15" s="134">
        <f>VLOOKUP($A15, 'Table 8 - Full data'!$A$2:$M$91,4,FALSE)</f>
        <v>7605</v>
      </c>
      <c r="E15" s="134">
        <f>VLOOKUP($A15, 'Table 8 - Full data'!$A$2:$M$91,5,FALSE)</f>
        <v>7370</v>
      </c>
      <c r="F15" s="134">
        <f>VLOOKUP($A15, 'Table 8 - Full data'!$A$2:$M$91,6,FALSE)</f>
        <v>5585</v>
      </c>
      <c r="G15" s="134">
        <f>VLOOKUP($A15, 'Table 8 - Full data'!$A$2:$M$91,7,FALSE)</f>
        <v>12285</v>
      </c>
      <c r="H15" s="134">
        <f>VLOOKUP($A15, 'Table 8 - Full data'!$A$2:$M$91,8,FALSE)</f>
        <v>2260</v>
      </c>
      <c r="I15" s="141">
        <f>VLOOKUP($A15, 'Table 8 - Full data'!$A$2:$M$91,9,FALSE)</f>
        <v>0.34</v>
      </c>
      <c r="J15" s="141">
        <f>VLOOKUP($A15, 'Table 8 - Full data'!$A$2:$M$91,10,FALSE)</f>
        <v>0.33</v>
      </c>
      <c r="K15" s="141">
        <f>VLOOKUP($A15, 'Table 8 - Full data'!$A$2:$M$91,11,FALSE)</f>
        <v>0.25</v>
      </c>
      <c r="L15" s="141">
        <f>VLOOKUP($A15, 'Table 8 - Full data'!$A$2:$M$91,12,FALSE)</f>
        <v>0.55000000000000004</v>
      </c>
      <c r="M15" s="141">
        <f>VLOOKUP($A15, 'Table 8 - Full data'!$A$2:$M$91,13,FALSE)</f>
        <v>0.1</v>
      </c>
      <c r="N15" s="27"/>
      <c r="O15" s="27"/>
    </row>
    <row r="16" spans="1:15" ht="15.75" x14ac:dyDescent="0.25">
      <c r="A16" s="41" t="str">
        <f xml:space="preserve"> "Greater Glasgow and Clyde " &amp;$B$7</f>
        <v>Greater Glasgow and Clyde All time</v>
      </c>
      <c r="B16" s="135">
        <f>VLOOKUP($A16, 'Table 8 - Full data'!$A$2:$M$91,2,FALSE)</f>
        <v>83415</v>
      </c>
      <c r="C16" s="141">
        <f>VLOOKUP($A16, 'Table 8 - Full data'!$A$2:$M$91,3,FALSE)</f>
        <v>0.26</v>
      </c>
      <c r="D16" s="134">
        <f>VLOOKUP($A16, 'Table 8 - Full data'!$A$2:$M$91,4,FALSE)</f>
        <v>26425</v>
      </c>
      <c r="E16" s="134">
        <f>VLOOKUP($A16, 'Table 8 - Full data'!$A$2:$M$91,5,FALSE)</f>
        <v>26740</v>
      </c>
      <c r="F16" s="134">
        <f>VLOOKUP($A16, 'Table 8 - Full data'!$A$2:$M$91,6,FALSE)</f>
        <v>20680</v>
      </c>
      <c r="G16" s="134">
        <f>VLOOKUP($A16, 'Table 8 - Full data'!$A$2:$M$91,7,FALSE)</f>
        <v>43180</v>
      </c>
      <c r="H16" s="134">
        <f>VLOOKUP($A16, 'Table 8 - Full data'!$A$2:$M$91,8,FALSE)</f>
        <v>10495</v>
      </c>
      <c r="I16" s="141">
        <f>VLOOKUP($A16, 'Table 8 - Full data'!$A$2:$M$91,9,FALSE)</f>
        <v>0.32</v>
      </c>
      <c r="J16" s="141">
        <f>VLOOKUP($A16, 'Table 8 - Full data'!$A$2:$M$91,10,FALSE)</f>
        <v>0.32</v>
      </c>
      <c r="K16" s="141">
        <f>VLOOKUP($A16, 'Table 8 - Full data'!$A$2:$M$91,11,FALSE)</f>
        <v>0.25</v>
      </c>
      <c r="L16" s="141">
        <f>VLOOKUP($A16, 'Table 8 - Full data'!$A$2:$M$91,12,FALSE)</f>
        <v>0.52</v>
      </c>
      <c r="M16" s="141">
        <f>VLOOKUP($A16, 'Table 8 - Full data'!$A$2:$M$91,13,FALSE)</f>
        <v>0.13</v>
      </c>
      <c r="N16" s="27"/>
      <c r="O16" s="27"/>
    </row>
    <row r="17" spans="1:27" ht="15.75" x14ac:dyDescent="0.25">
      <c r="A17" s="41" t="str">
        <f xml:space="preserve"> "Highland " &amp;$B$7</f>
        <v>Highland All time</v>
      </c>
      <c r="B17" s="135">
        <f>VLOOKUP($A17, 'Table 8 - Full data'!$A$2:$M$91,2,FALSE)</f>
        <v>14020</v>
      </c>
      <c r="C17" s="141">
        <f>VLOOKUP($A17, 'Table 8 - Full data'!$A$2:$M$91,3,FALSE)</f>
        <v>0.04</v>
      </c>
      <c r="D17" s="134">
        <f>VLOOKUP($A17, 'Table 8 - Full data'!$A$2:$M$91,4,FALSE)</f>
        <v>4745</v>
      </c>
      <c r="E17" s="134">
        <f>VLOOKUP($A17, 'Table 8 - Full data'!$A$2:$M$91,5,FALSE)</f>
        <v>4745</v>
      </c>
      <c r="F17" s="134">
        <f>VLOOKUP($A17, 'Table 8 - Full data'!$A$2:$M$91,6,FALSE)</f>
        <v>3695</v>
      </c>
      <c r="G17" s="134">
        <f>VLOOKUP($A17, 'Table 8 - Full data'!$A$2:$M$91,7,FALSE)</f>
        <v>7315</v>
      </c>
      <c r="H17" s="134">
        <f>VLOOKUP($A17, 'Table 8 - Full data'!$A$2:$M$91,8,FALSE)</f>
        <v>1410</v>
      </c>
      <c r="I17" s="141">
        <f>VLOOKUP($A17, 'Table 8 - Full data'!$A$2:$M$91,9,FALSE)</f>
        <v>0.34</v>
      </c>
      <c r="J17" s="141">
        <f>VLOOKUP($A17, 'Table 8 - Full data'!$A$2:$M$91,10,FALSE)</f>
        <v>0.34</v>
      </c>
      <c r="K17" s="141">
        <f>VLOOKUP($A17, 'Table 8 - Full data'!$A$2:$M$91,11,FALSE)</f>
        <v>0.26</v>
      </c>
      <c r="L17" s="141">
        <f>VLOOKUP($A17, 'Table 8 - Full data'!$A$2:$M$91,12,FALSE)</f>
        <v>0.52</v>
      </c>
      <c r="M17" s="141">
        <f>VLOOKUP($A17, 'Table 8 - Full data'!$A$2:$M$91,13,FALSE)</f>
        <v>0.1</v>
      </c>
      <c r="N17" s="27"/>
      <c r="O17" s="27"/>
    </row>
    <row r="18" spans="1:27" ht="15.75" x14ac:dyDescent="0.25">
      <c r="A18" s="41" t="str">
        <f xml:space="preserve"> "Lanarkshire " &amp;$B$7</f>
        <v>Lanarkshire All time</v>
      </c>
      <c r="B18" s="135">
        <f>VLOOKUP($A18, 'Table 8 - Full data'!$A$2:$M$91,2,FALSE)</f>
        <v>43900</v>
      </c>
      <c r="C18" s="141">
        <f>VLOOKUP($A18, 'Table 8 - Full data'!$A$2:$M$91,3,FALSE)</f>
        <v>0.14000000000000001</v>
      </c>
      <c r="D18" s="134">
        <f>VLOOKUP($A18, 'Table 8 - Full data'!$A$2:$M$91,4,FALSE)</f>
        <v>14695</v>
      </c>
      <c r="E18" s="134">
        <f>VLOOKUP($A18, 'Table 8 - Full data'!$A$2:$M$91,5,FALSE)</f>
        <v>14235</v>
      </c>
      <c r="F18" s="134">
        <f>VLOOKUP($A18, 'Table 8 - Full data'!$A$2:$M$91,6,FALSE)</f>
        <v>10940</v>
      </c>
      <c r="G18" s="134">
        <f>VLOOKUP($A18, 'Table 8 - Full data'!$A$2:$M$91,7,FALSE)</f>
        <v>23010</v>
      </c>
      <c r="H18" s="134">
        <f>VLOOKUP($A18, 'Table 8 - Full data'!$A$2:$M$91,8,FALSE)</f>
        <v>4910</v>
      </c>
      <c r="I18" s="141">
        <f>VLOOKUP($A18, 'Table 8 - Full data'!$A$2:$M$91,9,FALSE)</f>
        <v>0.33</v>
      </c>
      <c r="J18" s="141">
        <f>VLOOKUP($A18, 'Table 8 - Full data'!$A$2:$M$91,10,FALSE)</f>
        <v>0.32</v>
      </c>
      <c r="K18" s="141">
        <f>VLOOKUP($A18, 'Table 8 - Full data'!$A$2:$M$91,11,FALSE)</f>
        <v>0.25</v>
      </c>
      <c r="L18" s="141">
        <f>VLOOKUP($A18, 'Table 8 - Full data'!$A$2:$M$91,12,FALSE)</f>
        <v>0.52</v>
      </c>
      <c r="M18" s="141">
        <f>VLOOKUP($A18, 'Table 8 - Full data'!$A$2:$M$91,13,FALSE)</f>
        <v>0.11</v>
      </c>
      <c r="N18" s="27"/>
      <c r="O18" s="27"/>
    </row>
    <row r="19" spans="1:27" ht="15.75" x14ac:dyDescent="0.25">
      <c r="A19" s="41" t="str">
        <f xml:space="preserve"> "Lothian " &amp;$B$7</f>
        <v>Lothian All time</v>
      </c>
      <c r="B19" s="135">
        <f>VLOOKUP($A19, 'Table 8 - Full data'!$A$2:$M$91,2,FALSE)</f>
        <v>43335</v>
      </c>
      <c r="C19" s="141">
        <f>VLOOKUP($A19, 'Table 8 - Full data'!$A$2:$M$91,3,FALSE)</f>
        <v>0.13</v>
      </c>
      <c r="D19" s="134">
        <f>VLOOKUP($A19, 'Table 8 - Full data'!$A$2:$M$91,4,FALSE)</f>
        <v>13900</v>
      </c>
      <c r="E19" s="134">
        <f>VLOOKUP($A19, 'Table 8 - Full data'!$A$2:$M$91,5,FALSE)</f>
        <v>14170</v>
      </c>
      <c r="F19" s="134">
        <f>VLOOKUP($A19, 'Table 8 - Full data'!$A$2:$M$91,6,FALSE)</f>
        <v>11365</v>
      </c>
      <c r="G19" s="134">
        <f>VLOOKUP($A19, 'Table 8 - Full data'!$A$2:$M$91,7,FALSE)</f>
        <v>22915</v>
      </c>
      <c r="H19" s="134">
        <f>VLOOKUP($A19, 'Table 8 - Full data'!$A$2:$M$91,8,FALSE)</f>
        <v>4640</v>
      </c>
      <c r="I19" s="141">
        <f>VLOOKUP($A19, 'Table 8 - Full data'!$A$2:$M$91,9,FALSE)</f>
        <v>0.32</v>
      </c>
      <c r="J19" s="141">
        <f>VLOOKUP($A19, 'Table 8 - Full data'!$A$2:$M$91,10,FALSE)</f>
        <v>0.33</v>
      </c>
      <c r="K19" s="141">
        <f>VLOOKUP($A19, 'Table 8 - Full data'!$A$2:$M$91,11,FALSE)</f>
        <v>0.26</v>
      </c>
      <c r="L19" s="141">
        <f>VLOOKUP($A19, 'Table 8 - Full data'!$A$2:$M$91,12,FALSE)</f>
        <v>0.53</v>
      </c>
      <c r="M19" s="141">
        <f>VLOOKUP($A19, 'Table 8 - Full data'!$A$2:$M$91,13,FALSE)</f>
        <v>0.11</v>
      </c>
      <c r="N19" s="27"/>
      <c r="O19" s="27"/>
    </row>
    <row r="20" spans="1:27" ht="15.75" x14ac:dyDescent="0.25">
      <c r="A20" s="41" t="str">
        <f xml:space="preserve"> "Orkney " &amp;$B$7</f>
        <v>Orkney All time</v>
      </c>
      <c r="B20" s="135">
        <f>VLOOKUP($A20, 'Table 8 - Full data'!$A$2:$M$91,2,FALSE)</f>
        <v>660</v>
      </c>
      <c r="C20" s="141">
        <f>VLOOKUP($A20, 'Table 8 - Full data'!$A$2:$M$91,3,FALSE)</f>
        <v>0</v>
      </c>
      <c r="D20" s="134">
        <f>VLOOKUP($A20, 'Table 8 - Full data'!$A$2:$M$91,4,FALSE)</f>
        <v>220</v>
      </c>
      <c r="E20" s="134">
        <f>VLOOKUP($A20, 'Table 8 - Full data'!$A$2:$M$91,5,FALSE)</f>
        <v>220</v>
      </c>
      <c r="F20" s="134">
        <f>VLOOKUP($A20, 'Table 8 - Full data'!$A$2:$M$91,6,FALSE)</f>
        <v>190</v>
      </c>
      <c r="G20" s="134">
        <f>VLOOKUP($A20, 'Table 8 - Full data'!$A$2:$M$91,7,FALSE)</f>
        <v>350</v>
      </c>
      <c r="H20" s="134">
        <f>VLOOKUP($A20, 'Table 8 - Full data'!$A$2:$M$91,8,FALSE)</f>
        <v>55</v>
      </c>
      <c r="I20" s="141">
        <f>VLOOKUP($A20, 'Table 8 - Full data'!$A$2:$M$91,9,FALSE)</f>
        <v>0.33</v>
      </c>
      <c r="J20" s="141">
        <f>VLOOKUP($A20, 'Table 8 - Full data'!$A$2:$M$91,10,FALSE)</f>
        <v>0.33</v>
      </c>
      <c r="K20" s="141">
        <f>VLOOKUP($A20, 'Table 8 - Full data'!$A$2:$M$91,11,FALSE)</f>
        <v>0.28999999999999998</v>
      </c>
      <c r="L20" s="141">
        <f>VLOOKUP($A20, 'Table 8 - Full data'!$A$2:$M$91,12,FALSE)</f>
        <v>0.53</v>
      </c>
      <c r="M20" s="141">
        <f>VLOOKUP($A20, 'Table 8 - Full data'!$A$2:$M$91,13,FALSE)</f>
        <v>0.08</v>
      </c>
      <c r="N20" s="27"/>
      <c r="O20" s="27"/>
    </row>
    <row r="21" spans="1:27" ht="15.75" x14ac:dyDescent="0.25">
      <c r="A21" s="41" t="str">
        <f xml:space="preserve"> "Shetland " &amp;$B$7</f>
        <v>Shetland All time</v>
      </c>
      <c r="B21" s="135">
        <f>VLOOKUP($A21, 'Table 8 - Full data'!$A$2:$M$91,2,FALSE)</f>
        <v>635</v>
      </c>
      <c r="C21" s="141">
        <f>VLOOKUP($A21, 'Table 8 - Full data'!$A$2:$M$91,3,FALSE)</f>
        <v>0</v>
      </c>
      <c r="D21" s="134">
        <f>VLOOKUP($A21, 'Table 8 - Full data'!$A$2:$M$91,4,FALSE)</f>
        <v>205</v>
      </c>
      <c r="E21" s="134">
        <f>VLOOKUP($A21, 'Table 8 - Full data'!$A$2:$M$91,5,FALSE)</f>
        <v>235</v>
      </c>
      <c r="F21" s="134">
        <f>VLOOKUP($A21, 'Table 8 - Full data'!$A$2:$M$91,6,FALSE)</f>
        <v>170</v>
      </c>
      <c r="G21" s="134">
        <f>VLOOKUP($A21, 'Table 8 - Full data'!$A$2:$M$91,7,FALSE)</f>
        <v>340</v>
      </c>
      <c r="H21" s="134">
        <f>VLOOKUP($A21, 'Table 8 - Full data'!$A$2:$M$91,8,FALSE)</f>
        <v>55</v>
      </c>
      <c r="I21" s="141">
        <f>VLOOKUP($A21, 'Table 8 - Full data'!$A$2:$M$91,9,FALSE)</f>
        <v>0.32</v>
      </c>
      <c r="J21" s="141">
        <f>VLOOKUP($A21, 'Table 8 - Full data'!$A$2:$M$91,10,FALSE)</f>
        <v>0.37</v>
      </c>
      <c r="K21" s="141">
        <f>VLOOKUP($A21, 'Table 8 - Full data'!$A$2:$M$91,11,FALSE)</f>
        <v>0.27</v>
      </c>
      <c r="L21" s="141">
        <f>VLOOKUP($A21, 'Table 8 - Full data'!$A$2:$M$91,12,FALSE)</f>
        <v>0.54</v>
      </c>
      <c r="M21" s="141">
        <f>VLOOKUP($A21, 'Table 8 - Full data'!$A$2:$M$91,13,FALSE)</f>
        <v>0.09</v>
      </c>
      <c r="N21" s="27"/>
      <c r="O21" s="27"/>
    </row>
    <row r="22" spans="1:27" ht="15.75" x14ac:dyDescent="0.25">
      <c r="A22" s="41" t="str">
        <f xml:space="preserve"> "Tayside " &amp;$B$7</f>
        <v>Tayside All time</v>
      </c>
      <c r="B22" s="135">
        <f>VLOOKUP($A22, 'Table 8 - Full data'!$A$2:$M$91,2,FALSE)</f>
        <v>23150</v>
      </c>
      <c r="C22" s="141">
        <f>VLOOKUP($A22, 'Table 8 - Full data'!$A$2:$M$91,3,FALSE)</f>
        <v>7.0000000000000007E-2</v>
      </c>
      <c r="D22" s="134">
        <f>VLOOKUP($A22, 'Table 8 - Full data'!$A$2:$M$91,4,FALSE)</f>
        <v>7610</v>
      </c>
      <c r="E22" s="134">
        <f>VLOOKUP($A22, 'Table 8 - Full data'!$A$2:$M$91,5,FALSE)</f>
        <v>7705</v>
      </c>
      <c r="F22" s="134">
        <f>VLOOKUP($A22, 'Table 8 - Full data'!$A$2:$M$91,6,FALSE)</f>
        <v>6020</v>
      </c>
      <c r="G22" s="134">
        <f>VLOOKUP($A22, 'Table 8 - Full data'!$A$2:$M$91,7,FALSE)</f>
        <v>12390</v>
      </c>
      <c r="H22" s="134">
        <f>VLOOKUP($A22, 'Table 8 - Full data'!$A$2:$M$91,8,FALSE)</f>
        <v>2330</v>
      </c>
      <c r="I22" s="141">
        <f>VLOOKUP($A22, 'Table 8 - Full data'!$A$2:$M$91,9,FALSE)</f>
        <v>0.33</v>
      </c>
      <c r="J22" s="141">
        <f>VLOOKUP($A22, 'Table 8 - Full data'!$A$2:$M$91,10,FALSE)</f>
        <v>0.33</v>
      </c>
      <c r="K22" s="141">
        <f>VLOOKUP($A22, 'Table 8 - Full data'!$A$2:$M$91,11,FALSE)</f>
        <v>0.26</v>
      </c>
      <c r="L22" s="141">
        <f>VLOOKUP($A22, 'Table 8 - Full data'!$A$2:$M$91,12,FALSE)</f>
        <v>0.54</v>
      </c>
      <c r="M22" s="141">
        <f>VLOOKUP($A22, 'Table 8 - Full data'!$A$2:$M$91,13,FALSE)</f>
        <v>0.1</v>
      </c>
      <c r="N22" s="27"/>
      <c r="O22" s="27"/>
    </row>
    <row r="23" spans="1:27" s="5" customFormat="1" ht="15.75" x14ac:dyDescent="0.25">
      <c r="A23" s="41" t="str">
        <f xml:space="preserve"> "Western Isles " &amp;$B$7</f>
        <v>Western Isles All time</v>
      </c>
      <c r="B23" s="135">
        <f>VLOOKUP($A23, 'Table 8 - Full data'!$A$2:$M$91,2,FALSE)</f>
        <v>925</v>
      </c>
      <c r="C23" s="141">
        <f>VLOOKUP($A23, 'Table 8 - Full data'!$A$2:$M$91,3,FALSE)</f>
        <v>0</v>
      </c>
      <c r="D23" s="134">
        <f>VLOOKUP($A23, 'Table 8 - Full data'!$A$2:$M$91,4,FALSE)</f>
        <v>325</v>
      </c>
      <c r="E23" s="134">
        <f>VLOOKUP($A23, 'Table 8 - Full data'!$A$2:$M$91,5,FALSE)</f>
        <v>315</v>
      </c>
      <c r="F23" s="134">
        <f>VLOOKUP($A23, 'Table 8 - Full data'!$A$2:$M$91,6,FALSE)</f>
        <v>240</v>
      </c>
      <c r="G23" s="134">
        <f>VLOOKUP($A23, 'Table 8 - Full data'!$A$2:$M$91,7,FALSE)</f>
        <v>485</v>
      </c>
      <c r="H23" s="134">
        <f>VLOOKUP($A23, 'Table 8 - Full data'!$A$2:$M$91,8,FALSE)</f>
        <v>95</v>
      </c>
      <c r="I23" s="141">
        <f>VLOOKUP($A23, 'Table 8 - Full data'!$A$2:$M$91,9,FALSE)</f>
        <v>0.35</v>
      </c>
      <c r="J23" s="141">
        <f>VLOOKUP($A23, 'Table 8 - Full data'!$A$2:$M$91,10,FALSE)</f>
        <v>0.34</v>
      </c>
      <c r="K23" s="141">
        <f>VLOOKUP($A23, 'Table 8 - Full data'!$A$2:$M$91,11,FALSE)</f>
        <v>0.26</v>
      </c>
      <c r="L23" s="141">
        <f>VLOOKUP($A23, 'Table 8 - Full data'!$A$2:$M$91,12,FALSE)</f>
        <v>0.53</v>
      </c>
      <c r="M23" s="141">
        <f>VLOOKUP($A23, 'Table 8 - Full data'!$A$2:$M$91,13,FALSE)</f>
        <v>0.1</v>
      </c>
      <c r="N23" s="37"/>
      <c r="O23" s="37"/>
    </row>
    <row r="24" spans="1:27" ht="15.75" x14ac:dyDescent="0.25">
      <c r="A24" s="41" t="str">
        <f xml:space="preserve"> "Unknown - Scottish address " &amp;$B$7</f>
        <v>Unknown - Scottish address All time</v>
      </c>
      <c r="B24" s="135">
        <f>VLOOKUP($A24, 'Table 8 - Full data'!$A$2:$M$91,2,FALSE)</f>
        <v>650</v>
      </c>
      <c r="C24" s="141">
        <f>VLOOKUP($A24, 'Table 8 - Full data'!$A$2:$M$91,3,FALSE)</f>
        <v>0</v>
      </c>
      <c r="D24" s="134">
        <f>VLOOKUP($A24, 'Table 8 - Full data'!$A$2:$M$91,4,FALSE)</f>
        <v>275</v>
      </c>
      <c r="E24" s="134">
        <f>VLOOKUP($A24, 'Table 8 - Full data'!$A$2:$M$91,5,FALSE)</f>
        <v>240</v>
      </c>
      <c r="F24" s="134">
        <f>VLOOKUP($A24, 'Table 8 - Full data'!$A$2:$M$91,6,FALSE)</f>
        <v>95</v>
      </c>
      <c r="G24" s="134">
        <f>VLOOKUP($A24, 'Table 8 - Full data'!$A$2:$M$91,7,FALSE)</f>
        <v>420</v>
      </c>
      <c r="H24" s="134">
        <f>VLOOKUP($A24, 'Table 8 - Full data'!$A$2:$M$91,8,FALSE)</f>
        <v>45</v>
      </c>
      <c r="I24" s="141">
        <f>VLOOKUP($A24, 'Table 8 - Full data'!$A$2:$M$91,9,FALSE)</f>
        <v>0.42</v>
      </c>
      <c r="J24" s="141">
        <f>VLOOKUP($A24, 'Table 8 - Full data'!$A$2:$M$91,10,FALSE)</f>
        <v>0.37</v>
      </c>
      <c r="K24" s="141">
        <f>VLOOKUP($A24, 'Table 8 - Full data'!$A$2:$M$91,11,FALSE)</f>
        <v>0.15</v>
      </c>
      <c r="L24" s="141">
        <f>VLOOKUP($A24, 'Table 8 - Full data'!$A$2:$M$91,12,FALSE)</f>
        <v>0.65</v>
      </c>
      <c r="M24" s="141">
        <f>VLOOKUP($A24, 'Table 8 - Full data'!$A$2:$M$91,13,FALSE)</f>
        <v>7.0000000000000007E-2</v>
      </c>
      <c r="N24" s="27"/>
      <c r="O24" s="27"/>
    </row>
    <row r="25" spans="1:27" s="5" customFormat="1" ht="15.75" x14ac:dyDescent="0.25">
      <c r="A25" s="41" t="str">
        <f xml:space="preserve"> "Non-Scottish postcode " &amp;$B$7</f>
        <v>Non-Scottish postcode All time</v>
      </c>
      <c r="B25" s="135">
        <f>VLOOKUP($A25, 'Table 8 - Full data'!$A$2:$M$91,2,FALSE)</f>
        <v>10530</v>
      </c>
      <c r="C25" s="141">
        <f>VLOOKUP($A25, 'Table 8 - Full data'!$A$2:$M$91,3,FALSE)</f>
        <v>0.03</v>
      </c>
      <c r="D25" s="134">
        <f>VLOOKUP($A25, 'Table 8 - Full data'!$A$2:$M$91,4,FALSE)</f>
        <v>6890</v>
      </c>
      <c r="E25" s="134">
        <f>VLOOKUP($A25, 'Table 8 - Full data'!$A$2:$M$91,5,FALSE)</f>
        <v>2115</v>
      </c>
      <c r="F25" s="134">
        <f>VLOOKUP($A25, 'Table 8 - Full data'!$A$2:$M$91,6,FALSE)</f>
        <v>765</v>
      </c>
      <c r="G25" s="134">
        <f>VLOOKUP($A25, 'Table 8 - Full data'!$A$2:$M$91,7,FALSE)</f>
        <v>5510</v>
      </c>
      <c r="H25" s="134">
        <f>VLOOKUP($A25, 'Table 8 - Full data'!$A$2:$M$91,8,FALSE)</f>
        <v>775</v>
      </c>
      <c r="I25" s="141">
        <f>VLOOKUP($A25, 'Table 8 - Full data'!$A$2:$M$91,9,FALSE)</f>
        <v>0.65</v>
      </c>
      <c r="J25" s="141">
        <f>VLOOKUP($A25, 'Table 8 - Full data'!$A$2:$M$91,10,FALSE)</f>
        <v>0.2</v>
      </c>
      <c r="K25" s="141">
        <f>VLOOKUP($A25, 'Table 8 - Full data'!$A$2:$M$91,11,FALSE)</f>
        <v>7.0000000000000007E-2</v>
      </c>
      <c r="L25" s="141">
        <f>VLOOKUP($A25, 'Table 8 - Full data'!$A$2:$M$91,12,FALSE)</f>
        <v>0.52</v>
      </c>
      <c r="M25" s="141">
        <f>VLOOKUP($A25, 'Table 8 - Full data'!$A$2:$M$91,13,FALSE)</f>
        <v>7.0000000000000007E-2</v>
      </c>
      <c r="N25" s="37"/>
      <c r="O25" s="37"/>
    </row>
    <row r="26" spans="1:27" ht="15.75" x14ac:dyDescent="0.25">
      <c r="A26" s="41" t="str">
        <f xml:space="preserve"> "No address " &amp;$B$7</f>
        <v>No address All time</v>
      </c>
      <c r="B26" s="135">
        <f>VLOOKUP($A26, 'Table 8 - Full data'!$A$2:$M$91,2,FALSE)</f>
        <v>555</v>
      </c>
      <c r="C26" s="141">
        <f>VLOOKUP($A26, 'Table 8 - Full data'!$A$2:$M$91,3,FALSE)</f>
        <v>0</v>
      </c>
      <c r="D26" s="134">
        <f>VLOOKUP($A26, 'Table 8 - Full data'!$A$2:$M$91,4,FALSE)</f>
        <v>225</v>
      </c>
      <c r="E26" s="134">
        <f>VLOOKUP($A26, 'Table 8 - Full data'!$A$2:$M$91,5,FALSE)</f>
        <v>140</v>
      </c>
      <c r="F26" s="134">
        <f>VLOOKUP($A26, 'Table 8 - Full data'!$A$2:$M$91,6,FALSE)</f>
        <v>100</v>
      </c>
      <c r="G26" s="134">
        <f>VLOOKUP($A26, 'Table 8 - Full data'!$A$2:$M$91,7,FALSE)</f>
        <v>300</v>
      </c>
      <c r="H26" s="134">
        <f>VLOOKUP($A26, 'Table 8 - Full data'!$A$2:$M$91,8,FALSE)</f>
        <v>85</v>
      </c>
      <c r="I26" s="141">
        <f>VLOOKUP($A26, 'Table 8 - Full data'!$A$2:$M$91,9,FALSE)</f>
        <v>0.4</v>
      </c>
      <c r="J26" s="141">
        <f>VLOOKUP($A26, 'Table 8 - Full data'!$A$2:$M$91,10,FALSE)</f>
        <v>0.25</v>
      </c>
      <c r="K26" s="141">
        <f>VLOOKUP($A26, 'Table 8 - Full data'!$A$2:$M$91,11,FALSE)</f>
        <v>0.18</v>
      </c>
      <c r="L26" s="141">
        <f>VLOOKUP($A26, 'Table 8 - Full data'!$A$2:$M$91,12,FALSE)</f>
        <v>0.54</v>
      </c>
      <c r="M26" s="141">
        <f>VLOOKUP($A26, 'Table 8 - Full data'!$A$2:$M$91,13,FALSE)</f>
        <v>0.15</v>
      </c>
      <c r="N26" s="27"/>
      <c r="O26" s="27"/>
    </row>
    <row r="27" spans="1:27" s="77" customFormat="1" ht="15.75" x14ac:dyDescent="0.25">
      <c r="A27" s="64" t="s">
        <v>8</v>
      </c>
      <c r="B27" s="37"/>
      <c r="C27" s="37"/>
      <c r="D27" s="37"/>
      <c r="E27" s="37"/>
      <c r="F27" s="37"/>
      <c r="G27" s="37"/>
      <c r="H27" s="37"/>
      <c r="I27" s="37"/>
      <c r="J27" s="37"/>
      <c r="K27" s="37"/>
      <c r="L27" s="37"/>
      <c r="M27" s="37"/>
      <c r="N27" s="172"/>
      <c r="O27" s="172"/>
      <c r="P27" s="172"/>
      <c r="Q27" s="172"/>
      <c r="R27" s="172"/>
      <c r="S27" s="172"/>
      <c r="T27" s="172"/>
      <c r="U27" s="172"/>
      <c r="V27" s="172"/>
      <c r="W27" s="172"/>
      <c r="X27" s="172"/>
      <c r="Y27" s="172"/>
      <c r="Z27" s="172"/>
      <c r="AA27" s="172"/>
    </row>
    <row r="28" spans="1:27" s="22" customFormat="1" ht="15.75" x14ac:dyDescent="0.25">
      <c r="A28" s="64" t="s">
        <v>64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row>
    <row r="29" spans="1:27" s="22" customFormat="1" ht="15.75" x14ac:dyDescent="0.25">
      <c r="A29" s="45" t="s">
        <v>586</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row>
    <row r="30" spans="1:27" s="22" customFormat="1" ht="15.75" x14ac:dyDescent="0.25">
      <c r="A30" s="45" t="s">
        <v>587</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s="77" customFormat="1" ht="15.75" x14ac:dyDescent="0.25">
      <c r="A31" s="46" t="s">
        <v>600</v>
      </c>
      <c r="B31" s="37"/>
      <c r="C31" s="37"/>
      <c r="D31" s="37"/>
      <c r="E31" s="37"/>
      <c r="F31" s="37"/>
      <c r="G31" s="37"/>
      <c r="H31" s="37"/>
      <c r="I31" s="37"/>
      <c r="J31" s="37"/>
      <c r="K31" s="37"/>
      <c r="L31" s="37"/>
      <c r="M31" s="37"/>
      <c r="N31" s="172"/>
      <c r="O31" s="172"/>
      <c r="P31" s="172"/>
      <c r="Q31" s="172"/>
      <c r="R31" s="172"/>
      <c r="S31" s="172"/>
      <c r="T31" s="172"/>
      <c r="U31" s="172"/>
      <c r="V31" s="172"/>
      <c r="W31" s="172"/>
      <c r="X31" s="172"/>
      <c r="Y31" s="172"/>
      <c r="Z31" s="172"/>
      <c r="AA31" s="172"/>
    </row>
    <row r="32" spans="1:27" s="77" customFormat="1" ht="15.75" x14ac:dyDescent="0.25">
      <c r="A32" s="200" t="s">
        <v>753</v>
      </c>
      <c r="B32" s="37"/>
      <c r="C32" s="37"/>
      <c r="D32" s="37"/>
      <c r="E32" s="37"/>
      <c r="F32" s="37"/>
      <c r="G32" s="37"/>
      <c r="H32" s="37"/>
      <c r="I32" s="37"/>
      <c r="J32" s="37"/>
      <c r="K32" s="37"/>
      <c r="L32" s="37"/>
      <c r="M32" s="37"/>
      <c r="N32" s="172"/>
      <c r="O32" s="172"/>
      <c r="P32" s="172"/>
      <c r="Q32" s="172"/>
      <c r="R32" s="172"/>
      <c r="S32" s="172"/>
      <c r="T32" s="172"/>
      <c r="U32" s="172"/>
      <c r="V32" s="172"/>
      <c r="W32" s="172"/>
      <c r="X32" s="172"/>
      <c r="Y32" s="172"/>
      <c r="Z32" s="172"/>
      <c r="AA32" s="172"/>
    </row>
    <row r="33" spans="1:27" s="22" customFormat="1" ht="131.25" customHeight="1" x14ac:dyDescent="0.25">
      <c r="A33" s="29" t="s">
        <v>634</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row>
    <row r="34" spans="1:27" s="22" customFormat="1" ht="132.75" customHeight="1" x14ac:dyDescent="0.25">
      <c r="A34" s="29" t="s">
        <v>636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row>
    <row r="35" spans="1:27" ht="15.75" x14ac:dyDescent="0.25">
      <c r="A35" s="37" t="s">
        <v>635</v>
      </c>
      <c r="B35" s="27"/>
      <c r="C35" s="27"/>
      <c r="D35" s="27"/>
      <c r="E35" s="27"/>
      <c r="F35" s="27"/>
      <c r="G35" s="27"/>
      <c r="H35" s="27"/>
      <c r="I35" s="27"/>
      <c r="J35" s="27"/>
      <c r="K35" s="27"/>
      <c r="L35" s="27"/>
      <c r="M35" s="27"/>
      <c r="N35" s="27"/>
      <c r="O35" s="27"/>
    </row>
    <row r="36" spans="1:27" ht="15.75" x14ac:dyDescent="0.25">
      <c r="A36" s="37" t="s">
        <v>612</v>
      </c>
      <c r="B36" s="27"/>
      <c r="C36" s="27"/>
      <c r="D36" s="27"/>
      <c r="E36" s="27"/>
      <c r="F36" s="27"/>
      <c r="G36" s="27"/>
      <c r="H36" s="27"/>
      <c r="I36" s="27"/>
      <c r="J36" s="27"/>
      <c r="K36" s="27"/>
      <c r="L36" s="27"/>
      <c r="M36" s="27"/>
      <c r="N36" s="27"/>
      <c r="O36" s="27"/>
    </row>
    <row r="37" spans="1:27" ht="15.75" x14ac:dyDescent="0.25">
      <c r="A37" s="46" t="s">
        <v>637</v>
      </c>
      <c r="B37" s="27"/>
      <c r="C37" s="27"/>
      <c r="D37" s="27"/>
      <c r="E37" s="27"/>
      <c r="F37" s="27"/>
      <c r="G37" s="27"/>
      <c r="H37" s="27"/>
      <c r="I37" s="27"/>
      <c r="J37" s="27"/>
      <c r="K37" s="27"/>
      <c r="L37" s="27"/>
      <c r="M37" s="27"/>
      <c r="N37" s="27"/>
      <c r="O37" s="27"/>
    </row>
    <row r="38" spans="1:27" ht="15.75" x14ac:dyDescent="0.25">
      <c r="A38" s="45" t="s">
        <v>629</v>
      </c>
      <c r="B38" s="27"/>
      <c r="C38" s="27"/>
      <c r="D38" s="27"/>
      <c r="E38" s="27"/>
      <c r="F38" s="27"/>
      <c r="G38" s="27"/>
      <c r="H38" s="27"/>
      <c r="I38" s="27"/>
      <c r="J38" s="27"/>
      <c r="K38" s="27"/>
      <c r="L38" s="27"/>
      <c r="M38" s="27"/>
      <c r="N38" s="27"/>
      <c r="O38" s="27"/>
    </row>
    <row r="39" spans="1:27" ht="15.75" x14ac:dyDescent="0.25">
      <c r="A39" s="45" t="s">
        <v>630</v>
      </c>
      <c r="B39" s="27"/>
      <c r="C39" s="27"/>
      <c r="D39" s="27"/>
      <c r="E39" s="27"/>
      <c r="F39" s="27"/>
      <c r="G39" s="27"/>
      <c r="H39" s="27"/>
      <c r="I39" s="27"/>
      <c r="J39" s="27"/>
      <c r="K39" s="27"/>
      <c r="L39" s="27"/>
      <c r="M39" s="27"/>
      <c r="N39" s="27"/>
      <c r="O39" s="27"/>
    </row>
    <row r="40" spans="1:27" ht="15.75" x14ac:dyDescent="0.25">
      <c r="A40" s="45" t="s">
        <v>631</v>
      </c>
      <c r="B40" s="27"/>
      <c r="C40" s="27"/>
      <c r="D40" s="27"/>
      <c r="E40" s="27"/>
      <c r="F40" s="27"/>
      <c r="G40" s="27"/>
      <c r="H40" s="27"/>
      <c r="I40" s="27"/>
      <c r="J40" s="27"/>
      <c r="K40" s="27"/>
      <c r="L40" s="27"/>
      <c r="M40" s="27"/>
      <c r="N40" s="27"/>
      <c r="O40" s="27"/>
    </row>
    <row r="41" spans="1:27" ht="15.75" x14ac:dyDescent="0.25">
      <c r="A41" s="46" t="s">
        <v>7</v>
      </c>
      <c r="N41" s="56"/>
      <c r="O41" s="56"/>
    </row>
    <row r="42" spans="1:27" ht="15.75" x14ac:dyDescent="0.25">
      <c r="N42" s="56"/>
      <c r="O42" s="56"/>
    </row>
    <row r="43" spans="1:27" ht="15.75" x14ac:dyDescent="0.25">
      <c r="N43" s="56"/>
      <c r="O43" s="56"/>
    </row>
    <row r="44" spans="1:27" ht="15.75" x14ac:dyDescent="0.25">
      <c r="N44" s="56"/>
      <c r="O44" s="56"/>
    </row>
    <row r="45" spans="1:27" ht="15.75" x14ac:dyDescent="0.25">
      <c r="N45" s="56"/>
      <c r="O45" s="56"/>
    </row>
    <row r="46" spans="1:27" ht="15.75" x14ac:dyDescent="0.25">
      <c r="N46" s="27"/>
      <c r="O46" s="27"/>
    </row>
    <row r="47" spans="1:27" ht="15.75" x14ac:dyDescent="0.25">
      <c r="N47" s="27"/>
      <c r="O47" s="27"/>
    </row>
    <row r="48" spans="1:27" ht="15.75" x14ac:dyDescent="0.25">
      <c r="N48" s="27"/>
      <c r="O48" s="27"/>
    </row>
    <row r="49" spans="14:15" ht="15.75" x14ac:dyDescent="0.25">
      <c r="N49" s="56"/>
      <c r="O49" s="56"/>
    </row>
    <row r="50" spans="14:15" ht="15.75" x14ac:dyDescent="0.25">
      <c r="N50" s="56"/>
      <c r="O50" s="56"/>
    </row>
    <row r="51" spans="14:15" ht="15.75" x14ac:dyDescent="0.25">
      <c r="N51" s="56"/>
      <c r="O51" s="56"/>
    </row>
    <row r="52" spans="14:15" ht="15.75" x14ac:dyDescent="0.25">
      <c r="N52" s="27"/>
      <c r="O52" s="27"/>
    </row>
    <row r="53" spans="14:15" ht="15.75" x14ac:dyDescent="0.25">
      <c r="N53" s="27"/>
      <c r="O53" s="27"/>
    </row>
    <row r="54" spans="14:15" ht="15.75" x14ac:dyDescent="0.25">
      <c r="N54" s="27"/>
      <c r="O54" s="27"/>
    </row>
    <row r="55" spans="14:15" ht="15.75" x14ac:dyDescent="0.25">
      <c r="N55" s="27"/>
      <c r="O55" s="27"/>
    </row>
    <row r="56" spans="14:15" ht="15.75" x14ac:dyDescent="0.25">
      <c r="N56" s="27"/>
      <c r="O56" s="27"/>
    </row>
    <row r="57" spans="14:15" ht="15.75" x14ac:dyDescent="0.25">
      <c r="N57" s="27"/>
      <c r="O57" s="27"/>
    </row>
    <row r="58" spans="14:15" ht="15.75" x14ac:dyDescent="0.25">
      <c r="N58" s="27"/>
      <c r="O58" s="27"/>
    </row>
  </sheetData>
  <sheetProtection sheet="1" objects="1" scenarios="1"/>
  <protectedRanges>
    <protectedRange sqref="B7" name="Range1"/>
  </protectedRanges>
  <conditionalFormatting sqref="C9:C22 C24 I9:M22">
    <cfRule type="dataBar" priority="8">
      <dataBar>
        <cfvo type="num" val="0"/>
        <cfvo type="num" val="1"/>
        <color rgb="FFB4A9D4"/>
      </dataBar>
      <extLst>
        <ext xmlns:x14="http://schemas.microsoft.com/office/spreadsheetml/2009/9/main" uri="{B025F937-C7B1-47D3-B67F-A62EFF666E3E}">
          <x14:id>{2801F0EB-B3FB-40E9-8BE4-8F2EC4B0BF13}</x14:id>
        </ext>
      </extLst>
    </cfRule>
  </conditionalFormatting>
  <conditionalFormatting sqref="I24:M24">
    <cfRule type="dataBar" priority="7">
      <dataBar>
        <cfvo type="num" val="0"/>
        <cfvo type="num" val="1"/>
        <color rgb="FFB4A9D4"/>
      </dataBar>
      <extLst>
        <ext xmlns:x14="http://schemas.microsoft.com/office/spreadsheetml/2009/9/main" uri="{B025F937-C7B1-47D3-B67F-A62EFF666E3E}">
          <x14:id>{245F4028-8FE2-4A4C-BA7B-7EA03784D786}</x14:id>
        </ext>
      </extLst>
    </cfRule>
  </conditionalFormatting>
  <conditionalFormatting sqref="C23">
    <cfRule type="dataBar" priority="6">
      <dataBar>
        <cfvo type="num" val="0"/>
        <cfvo type="num" val="1"/>
        <color rgb="FFB4A9D4"/>
      </dataBar>
      <extLst>
        <ext xmlns:x14="http://schemas.microsoft.com/office/spreadsheetml/2009/9/main" uri="{B025F937-C7B1-47D3-B67F-A62EFF666E3E}">
          <x14:id>{CEC7311F-14D5-48A7-879D-7AE2FBDE2B65}</x14:id>
        </ext>
      </extLst>
    </cfRule>
  </conditionalFormatting>
  <conditionalFormatting sqref="I23:M23">
    <cfRule type="dataBar" priority="5">
      <dataBar>
        <cfvo type="num" val="0"/>
        <cfvo type="num" val="1"/>
        <color rgb="FFB4A9D4"/>
      </dataBar>
      <extLst>
        <ext xmlns:x14="http://schemas.microsoft.com/office/spreadsheetml/2009/9/main" uri="{B025F937-C7B1-47D3-B67F-A62EFF666E3E}">
          <x14:id>{EC4012AE-6B9D-43BD-AE80-FC96B991C1FC}</x14:id>
        </ext>
      </extLst>
    </cfRule>
  </conditionalFormatting>
  <conditionalFormatting sqref="C25">
    <cfRule type="dataBar" priority="4">
      <dataBar>
        <cfvo type="num" val="0"/>
        <cfvo type="num" val="1"/>
        <color rgb="FFB4A9D4"/>
      </dataBar>
      <extLst>
        <ext xmlns:x14="http://schemas.microsoft.com/office/spreadsheetml/2009/9/main" uri="{B025F937-C7B1-47D3-B67F-A62EFF666E3E}">
          <x14:id>{445A2177-6B6A-4A0D-A13D-036084EF24D9}</x14:id>
        </ext>
      </extLst>
    </cfRule>
  </conditionalFormatting>
  <conditionalFormatting sqref="I25:M25">
    <cfRule type="dataBar" priority="3">
      <dataBar>
        <cfvo type="num" val="0"/>
        <cfvo type="num" val="1"/>
        <color rgb="FFB4A9D4"/>
      </dataBar>
      <extLst>
        <ext xmlns:x14="http://schemas.microsoft.com/office/spreadsheetml/2009/9/main" uri="{B025F937-C7B1-47D3-B67F-A62EFF666E3E}">
          <x14:id>{D51A0370-BEBD-40DC-AADB-CCE441D523BF}</x14:id>
        </ext>
      </extLst>
    </cfRule>
  </conditionalFormatting>
  <conditionalFormatting sqref="C26">
    <cfRule type="dataBar" priority="2">
      <dataBar>
        <cfvo type="num" val="0"/>
        <cfvo type="num" val="1"/>
        <color rgb="FFB4A9D4"/>
      </dataBar>
      <extLst>
        <ext xmlns:x14="http://schemas.microsoft.com/office/spreadsheetml/2009/9/main" uri="{B025F937-C7B1-47D3-B67F-A62EFF666E3E}">
          <x14:id>{D6A3C7E7-746C-4C32-8CED-04D4D34AB081}</x14:id>
        </ext>
      </extLst>
    </cfRule>
  </conditionalFormatting>
  <conditionalFormatting sqref="I26:M26">
    <cfRule type="dataBar" priority="1">
      <dataBar>
        <cfvo type="num" val="0"/>
        <cfvo type="num" val="1"/>
        <color rgb="FFB4A9D4"/>
      </dataBar>
      <extLst>
        <ext xmlns:x14="http://schemas.microsoft.com/office/spreadsheetml/2009/9/main" uri="{B025F937-C7B1-47D3-B67F-A62EFF666E3E}">
          <x14:id>{504F424E-D7E8-45E0-AD29-EA129B7BBE92}</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801F0EB-B3FB-40E9-8BE4-8F2EC4B0BF13}">
            <x14:dataBar minLength="0" maxLength="100" gradient="0">
              <x14:cfvo type="num">
                <xm:f>0</xm:f>
              </x14:cfvo>
              <x14:cfvo type="num">
                <xm:f>1</xm:f>
              </x14:cfvo>
              <x14:negativeFillColor rgb="FFFF0000"/>
              <x14:axisColor rgb="FF000000"/>
            </x14:dataBar>
          </x14:cfRule>
          <xm:sqref>C9:C22 C24 I9:M22</xm:sqref>
        </x14:conditionalFormatting>
        <x14:conditionalFormatting xmlns:xm="http://schemas.microsoft.com/office/excel/2006/main">
          <x14:cfRule type="dataBar" id="{245F4028-8FE2-4A4C-BA7B-7EA03784D786}">
            <x14:dataBar minLength="0" maxLength="100" gradient="0">
              <x14:cfvo type="num">
                <xm:f>0</xm:f>
              </x14:cfvo>
              <x14:cfvo type="num">
                <xm:f>1</xm:f>
              </x14:cfvo>
              <x14:negativeFillColor rgb="FFFF0000"/>
              <x14:axisColor rgb="FF000000"/>
            </x14:dataBar>
          </x14:cfRule>
          <xm:sqref>I24:M24</xm:sqref>
        </x14:conditionalFormatting>
        <x14:conditionalFormatting xmlns:xm="http://schemas.microsoft.com/office/excel/2006/main">
          <x14:cfRule type="dataBar" id="{CEC7311F-14D5-48A7-879D-7AE2FBDE2B65}">
            <x14:dataBar minLength="0" maxLength="100" gradient="0">
              <x14:cfvo type="num">
                <xm:f>0</xm:f>
              </x14:cfvo>
              <x14:cfvo type="num">
                <xm:f>1</xm:f>
              </x14:cfvo>
              <x14:negativeFillColor rgb="FFFF0000"/>
              <x14:axisColor rgb="FF000000"/>
            </x14:dataBar>
          </x14:cfRule>
          <xm:sqref>C23</xm:sqref>
        </x14:conditionalFormatting>
        <x14:conditionalFormatting xmlns:xm="http://schemas.microsoft.com/office/excel/2006/main">
          <x14:cfRule type="dataBar" id="{EC4012AE-6B9D-43BD-AE80-FC96B991C1FC}">
            <x14:dataBar minLength="0" maxLength="100" gradient="0">
              <x14:cfvo type="num">
                <xm:f>0</xm:f>
              </x14:cfvo>
              <x14:cfvo type="num">
                <xm:f>1</xm:f>
              </x14:cfvo>
              <x14:negativeFillColor rgb="FFFF0000"/>
              <x14:axisColor rgb="FF000000"/>
            </x14:dataBar>
          </x14:cfRule>
          <xm:sqref>I23:M23</xm:sqref>
        </x14:conditionalFormatting>
        <x14:conditionalFormatting xmlns:xm="http://schemas.microsoft.com/office/excel/2006/main">
          <x14:cfRule type="dataBar" id="{445A2177-6B6A-4A0D-A13D-036084EF24D9}">
            <x14:dataBar minLength="0" maxLength="100" gradient="0">
              <x14:cfvo type="num">
                <xm:f>0</xm:f>
              </x14:cfvo>
              <x14:cfvo type="num">
                <xm:f>1</xm:f>
              </x14:cfvo>
              <x14:negativeFillColor rgb="FFFF0000"/>
              <x14:axisColor rgb="FF000000"/>
            </x14:dataBar>
          </x14:cfRule>
          <xm:sqref>C25</xm:sqref>
        </x14:conditionalFormatting>
        <x14:conditionalFormatting xmlns:xm="http://schemas.microsoft.com/office/excel/2006/main">
          <x14:cfRule type="dataBar" id="{D51A0370-BEBD-40DC-AADB-CCE441D523BF}">
            <x14:dataBar minLength="0" maxLength="100" gradient="0">
              <x14:cfvo type="num">
                <xm:f>0</xm:f>
              </x14:cfvo>
              <x14:cfvo type="num">
                <xm:f>1</xm:f>
              </x14:cfvo>
              <x14:negativeFillColor rgb="FFFF0000"/>
              <x14:axisColor rgb="FF000000"/>
            </x14:dataBar>
          </x14:cfRule>
          <xm:sqref>I25:M25</xm:sqref>
        </x14:conditionalFormatting>
        <x14:conditionalFormatting xmlns:xm="http://schemas.microsoft.com/office/excel/2006/main">
          <x14:cfRule type="dataBar" id="{D6A3C7E7-746C-4C32-8CED-04D4D34AB081}">
            <x14:dataBar minLength="0" maxLength="100" gradient="0">
              <x14:cfvo type="num">
                <xm:f>0</xm:f>
              </x14:cfvo>
              <x14:cfvo type="num">
                <xm:f>1</xm:f>
              </x14:cfvo>
              <x14:negativeFillColor rgb="FFFF0000"/>
              <x14:axisColor rgb="FF000000"/>
            </x14:dataBar>
          </x14:cfRule>
          <xm:sqref>C26</xm:sqref>
        </x14:conditionalFormatting>
        <x14:conditionalFormatting xmlns:xm="http://schemas.microsoft.com/office/excel/2006/main">
          <x14:cfRule type="dataBar" id="{504F424E-D7E8-45E0-AD29-EA129B7BBE92}">
            <x14:dataBar minLength="0" maxLength="100" gradient="0">
              <x14:cfvo type="num">
                <xm:f>0</xm:f>
              </x14:cfvo>
              <x14:cfvo type="num">
                <xm:f>1</xm:f>
              </x14:cfvo>
              <x14:negativeFillColor rgb="FFFF0000"/>
              <x14:axisColor rgb="FF000000"/>
            </x14:dataBar>
          </x14:cfRule>
          <xm:sqref>I26:M26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8 - Full data'!$O$2:$O$6</xm:f>
          </x14:formula1>
          <xm:sqref>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B g F A A B Q S w M E F A A C A A g A i o b u U n 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I q G 7 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h u 5 S Y p d k x Q 4 C A A B E G A A A E w A c A E Z v c m 1 1 b G F z L 1 N l Y 3 R p b 2 4 x L m 0 g o h g A K K A U A A A A A A A A A A A A A A A A A A A A A A A A A A A A 7 V Z N a + M w E L 0 H 8 h + E S 8 E B U y o n 3 d 1 S c g j p L k u h H 2 y y 7 C H k o L j T x k S W j C R 3 G 0 L + e 2 U 7 z Z e s 1 r 7 u K h e H N 2 9 m P N Y 8 P 0 u I V M w Z G p V X f N V u t V t y T g Q 8 o j G Z U Q h 7 F 6 i P K K h 2 C + n f i G c i A o 1 8 f 4 2 A n g 0 z I Y C p P 1 w s Z p w v / M 5 q c k c S 6 H v v u d 5 0 P R l y p j R p G p Q l T r z h n L D n v M E y B U / X K s h n Y 0 G Y f O I i G X K a J S w P S r / s F 6 x W 3 i B N a R y R 4 m 7 z A g y o F y C l W U j B q 1 o H 6 I A j 0 S + I I H 7 R b W K G B q m I t 3 T C l h + z b 8 m y N v c m Y 9 C A T O t X H m T P m V S 1 6 S N I F S Q z E L U z 7 i P F m / D v + E u z B t f 6 f 6 O E G 8 I y I u o / o h 8 w E 4 0 S b o m I 5 s f s M V f E W I 5 T x J 9 Q E U E H 1 f Z 5 6 0 6 7 F b P K r d 7 X 0 c l W D c g P O 5 6 T k 5 O T k 1 O l n L Y r f Q 0 J V 7 r H T y C P I O R u q 8 v A B v a P d r 9 T K Q n 8 i S b M b r k + S g Y 2 N F H i o Q X v W v C e B b + w 4 F 8 s + F c L / s 2 C X 1 p w f G 4 L 2 C b G t p G x b W Z s G x o f T r 1 3 7 M X 5 p F y + f 3 w c n V w e 8 Y 8 P d 5 f 9 I L h l a z a R 3 d o Y j Q I 0 2 Z A G l I 4 i Q o m Q f S U y m F Y v V f j p U h l 3 U / e t W 6 m f e 0 Z j 8 8 3 4 Q F I Q a M J 0 H 4 S n R n T O G W y j x T U 0 S L / Z g v G / b E P r G v F T Z L a 2 + 1 5 o N b 6 u M z 5 n f M 7 4 n P E 5 4 3 P G 9 z 8 Z X 8 8 Z n z M + Z 3 z O + J z x O e P 7 J 4 3 v D V B L A Q I t A B Q A A g A I A I q G 7 l J 1 v z V X q A A A A P g A A A A S A A A A A A A A A A A A A A A A A A A A A A B D b 2 5 m a W c v U G F j a 2 F n Z S 5 4 b W x Q S w E C L Q A U A A I A C A C K h u 5 S D 8 r p q 6 Q A A A D p A A A A E w A A A A A A A A A A A A A A A A D 0 A A A A W 0 N v b n R l b n R f V H l w Z X N d L n h t b F B L A Q I t A B Q A A g A I A I q G 7 l J i l 2 T F D g I A A E Q Y A A A T A A A A A A A A A A A A A A A A A O U B A A B G b 3 J t d W x h c y 9 T Z W N 0 a W 9 u M S 5 t U E s F B g A A A A A D A A M A w g A A A E A 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A 9 A A A A A A A A / j 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j Q 1 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x L T A 2 L T M w V D E 1 O j Q 4 O j A 2 L j Q z M D c 2 N T l a I i A v P j x F b n R y e S B U e X B l P S J G a W x s Q 2 9 s d W 1 u V H l w Z X M i I F Z h b H V l P S J z Q m d B Q U F B Q U F B Q U F B Q U F B Q U F B Q U E i I C 8 + P E V u d H J 5 I F R 5 c G U 9 I k Z p b G x D b 2 x 1 b W 5 O Y W 1 l c y I g V m F s d W U 9 I n N b J n F 1 b 3 Q 7 Q X B w b G l j Y X R p b 2 4 g Q 2 h h b m 5 l b C Z x d W 9 0 O y w m c X V v d D t B c H B s a W N h d G l v b n M g U m V j Z W l 2 Z W Q g a W 4 g Q X B y a W w m c X V v d D s s J n F 1 b 3 Q 7 Q X B w b G l j Y X R p b 2 5 z I F J l Y 2 V p d m V k I G l u I E 1 h e S Z x d W 9 0 O y w m c X V v d D t B c H B s a W N h d G l v b n M g U m V j Z W l 2 Z W Q g a W 4 g S n V u Z S Z x d W 9 0 O y w m c X V v d D t B c H B s a W N h d G l v b n M g U m V j Z W l 2 Z W Q g a W 4 g S n V s e S Z x d W 9 0 O y w m c X V v d D t B c H B s a W N h d G l v b n M g U m V j Z W l 2 Z W Q g a W 4 g Q X V n d X N 0 J n F 1 b 3 Q 7 L C Z x d W 9 0 O 0 F w c G x p Y 2 F 0 a W 9 u c y B S Z W N l a X Z l Z C B p b i B T Z X B 0 Z W 1 i Z X I m c X V v d D s s J n F 1 b 3 Q 7 Q X B w b G l j Y X R p b 2 5 z I F J l Y 2 V p d m V k I G l u I E 9 j d G 9 i Z X I m c X V v d D s s J n F 1 b 3 Q 7 Q X B w b G l j Y X R p b 2 5 z I F J l Y 2 V p d m V k I G l u I E 5 v d m V t Y m V y J n F 1 b 3 Q 7 L C Z x d W 9 0 O 0 F w c G x p Y 2 F 0 a W 9 u c y B S Z W N l a X Z l Z C B p b i B E Z W N l b W J l c i Z x d W 9 0 O y w m c X V v d D t B c H B s a W N h d G l v b n M g U m V j Z W l 2 Z W Q g a W 4 g S m F u d W F y e S Z x d W 9 0 O y w m c X V v d D t B c H B s a W N h d G l v b n M g U m V j Z W l 2 Z W Q g a W 4 g R m V i c n V h c n k m c X V v d D s s J n F 1 b 3 Q 7 Q X B w b G l j Y X R p b 2 5 z I F J l Y 2 V p d m V k I G l u I E 1 h c m N o J n F 1 b 3 Q 7 L C Z x d W 9 0 O 1 R v d G F s J n F 1 b 3 Q 7 L C Z x d W 9 0 O y U g b 2 Y g V G 9 0 Y W w g Q X B w b G l j Y X R p b 2 5 z I C Z x d W 9 0 O 1 0 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U Y W J s Z T I 0 N S 9 D a G F u Z 2 V k I F R 5 c G U u e 0 F w c G x p Y 2 F 0 a W 9 u I E N o Y W 5 u Z W w s M H 0 m c X V v d D s s J n F 1 b 3 Q 7 U 2 V j d G l v b j E v V G F i b G U y N D U v Q 2 h h b m d l Z C B U e X B l L n t B c H B s a W N h d G l v b n M g U m V j Z W l 2 Z W Q g a W 4 g Q X B y a W w s M X 0 m c X V v d D s s J n F 1 b 3 Q 7 U 2 V j d G l v b j E v V G F i b G U y N D U v Q 2 h h b m d l Z C B U e X B l L n t B c H B s a W N h d G l v b n M g U m V j Z W l 2 Z W Q g a W 4 g T W F 5 L D J 9 J n F 1 b 3 Q 7 L C Z x d W 9 0 O 1 N l Y 3 R p b 2 4 x L 1 R h Y m x l M j Q 1 L 0 N o Y W 5 n Z W Q g V H l w Z S 5 7 Q X B w b G l j Y X R p b 2 5 z I F J l Y 2 V p d m V k I G l u I E p 1 b m U s M 3 0 m c X V v d D s s J n F 1 b 3 Q 7 U 2 V j d G l v b j E v V G F i b G U y N D U v Q 2 h h b m d l Z C B U e X B l L n t B c H B s a W N h d G l v b n M g U m V j Z W l 2 Z W Q g a W 4 g S n V s e S w 0 f S Z x d W 9 0 O y w m c X V v d D t T Z W N 0 a W 9 u M S 9 U Y W J s Z T I 0 N S 9 D a G F u Z 2 V k I F R 5 c G U u e 0 F w c G x p Y 2 F 0 a W 9 u c y B S Z W N l a X Z l Z C B p b i B B d W d 1 c 3 Q s N X 0 m c X V v d D s s J n F 1 b 3 Q 7 U 2 V j d G l v b j E v V G F i b G U y N D U v Q 2 h h b m d l Z C B U e X B l L n t B c H B s a W N h d G l v b n M g U m V j Z W l 2 Z W Q g a W 4 g U 2 V w d G V t Y m V y L D Z 9 J n F 1 b 3 Q 7 L C Z x d W 9 0 O 1 N l Y 3 R p b 2 4 x L 1 R h Y m x l M j Q 1 L 0 N o Y W 5 n Z W Q g V H l w Z S 5 7 Q X B w b G l j Y X R p b 2 5 z I F J l Y 2 V p d m V k I G l u I E 9 j d G 9 i Z X I s N 3 0 m c X V v d D s s J n F 1 b 3 Q 7 U 2 V j d G l v b j E v V G F i b G U y N D U v Q 2 h h b m d l Z C B U e X B l L n t B c H B s a W N h d G l v b n M g U m V j Z W l 2 Z W Q g a W 4 g T m 9 2 Z W 1 i Z X I s O H 0 m c X V v d D s s J n F 1 b 3 Q 7 U 2 V j d G l v b j E v V G F i b G U y N D U v Q 2 h h b m d l Z C B U e X B l L n t B c H B s a W N h d G l v b n M g U m V j Z W l 2 Z W Q g a W 4 g R G V j Z W 1 i Z X I s O X 0 m c X V v d D s s J n F 1 b 3 Q 7 U 2 V j d G l v b j E v V G F i b G U y N D U v Q 2 h h b m d l Z C B U e X B l L n t B c H B s a W N h d G l v b n M g U m V j Z W l 2 Z W Q g a W 4 g S m F u d W F y e S w x M H 0 m c X V v d D s s J n F 1 b 3 Q 7 U 2 V j d G l v b j E v V G F i b G U y N D U v Q 2 h h b m d l Z C B U e X B l L n t B c H B s a W N h d G l v b n M g U m V j Z W l 2 Z W Q g a W 4 g R m V i c n V h c n k s M T F 9 J n F 1 b 3 Q 7 L C Z x d W 9 0 O 1 N l Y 3 R p b 2 4 x L 1 R h Y m x l M j Q 1 L 0 N o Y W 5 n Z W Q g V H l w Z S 5 7 Q X B w b G l j Y X R p b 2 5 z I F J l Y 2 V p d m V k I G l u I E 1 h c m N o L D E y f S Z x d W 9 0 O y w m c X V v d D t T Z W N 0 a W 9 u M S 9 U Y W J s Z T I 0 N S 9 D a G F u Z 2 V k I F R 5 c G U u e 1 R v d G F s L D E z f S Z x d W 9 0 O y w m c X V v d D t T Z W N 0 a W 9 u M S 9 U Y W J s Z T I 0 N S 9 D a G F u Z 2 V k I F R 5 c G U u e y U g b 2 Y g V G 9 0 Y W w g Q X B w b G l j Y X R p b 2 5 z I C w x N H 0 m c X V v d D t d L C Z x d W 9 0 O 0 N v b H V t b k N v d W 5 0 J n F 1 b 3 Q 7 O j E 1 L C Z x d W 9 0 O 0 t l e U N v b H V t b k 5 h b W V z J n F 1 b 3 Q 7 O l t d L C Z x d W 9 0 O 0 N v b H V t b k l k Z W 5 0 a X R p Z X M m c X V v d D s 6 W y Z x d W 9 0 O 1 N l Y 3 R p b 2 4 x L 1 R h Y m x l M j Q 1 L 0 N o Y W 5 n Z W Q g V H l w Z S 5 7 Q X B w b G l j Y X R p b 2 4 g Q 2 h h b m 5 l b C w w f S Z x d W 9 0 O y w m c X V v d D t T Z W N 0 a W 9 u M S 9 U Y W J s Z T I 0 N S 9 D a G F u Z 2 V k I F R 5 c G U u e 0 F w c G x p Y 2 F 0 a W 9 u c y B S Z W N l a X Z l Z C B p b i B B c H J p b C w x f S Z x d W 9 0 O y w m c X V v d D t T Z W N 0 a W 9 u M S 9 U Y W J s Z T I 0 N S 9 D a G F u Z 2 V k I F R 5 c G U u e 0 F w c G x p Y 2 F 0 a W 9 u c y B S Z W N l a X Z l Z C B p b i B N Y X k s M n 0 m c X V v d D s s J n F 1 b 3 Q 7 U 2 V j d G l v b j E v V G F i b G U y N D U v Q 2 h h b m d l Z C B U e X B l L n t B c H B s a W N h d G l v b n M g U m V j Z W l 2 Z W Q g a W 4 g S n V u Z S w z f S Z x d W 9 0 O y w m c X V v d D t T Z W N 0 a W 9 u M S 9 U Y W J s Z T I 0 N S 9 D a G F u Z 2 V k I F R 5 c G U u e 0 F w c G x p Y 2 F 0 a W 9 u c y B S Z W N l a X Z l Z C B p b i B K d W x 5 L D R 9 J n F 1 b 3 Q 7 L C Z x d W 9 0 O 1 N l Y 3 R p b 2 4 x L 1 R h Y m x l M j Q 1 L 0 N o Y W 5 n Z W Q g V H l w Z S 5 7 Q X B w b G l j Y X R p b 2 5 z I F J l Y 2 V p d m V k I G l u I E F 1 Z 3 V z d C w 1 f S Z x d W 9 0 O y w m c X V v d D t T Z W N 0 a W 9 u M S 9 U Y W J s Z T I 0 N S 9 D a G F u Z 2 V k I F R 5 c G U u e 0 F w c G x p Y 2 F 0 a W 9 u c y B S Z W N l a X Z l Z C B p b i B T Z X B 0 Z W 1 i Z X I s N n 0 m c X V v d D s s J n F 1 b 3 Q 7 U 2 V j d G l v b j E v V G F i b G U y N D U v Q 2 h h b m d l Z C B U e X B l L n t B c H B s a W N h d G l v b n M g U m V j Z W l 2 Z W Q g a W 4 g T 2 N 0 b 2 J l c i w 3 f S Z x d W 9 0 O y w m c X V v d D t T Z W N 0 a W 9 u M S 9 U Y W J s Z T I 0 N S 9 D a G F u Z 2 V k I F R 5 c G U u e 0 F w c G x p Y 2 F 0 a W 9 u c y B S Z W N l a X Z l Z C B p b i B O b 3 Z l b W J l c i w 4 f S Z x d W 9 0 O y w m c X V v d D t T Z W N 0 a W 9 u M S 9 U Y W J s Z T I 0 N S 9 D a G F u Z 2 V k I F R 5 c G U u e 0 F w c G x p Y 2 F 0 a W 9 u c y B S Z W N l a X Z l Z C B p b i B E Z W N l b W J l c i w 5 f S Z x d W 9 0 O y w m c X V v d D t T Z W N 0 a W 9 u M S 9 U Y W J s Z T I 0 N S 9 D a G F u Z 2 V k I F R 5 c G U u e 0 F w c G x p Y 2 F 0 a W 9 u c y B S Z W N l a X Z l Z C B p b i B K Y W 5 1 Y X J 5 L D E w f S Z x d W 9 0 O y w m c X V v d D t T Z W N 0 a W 9 u M S 9 U Y W J s Z T I 0 N S 9 D a G F u Z 2 V k I F R 5 c G U u e 0 F w c G x p Y 2 F 0 a W 9 u c y B S Z W N l a X Z l Z C B p b i B G Z W J y d W F y e S w x M X 0 m c X V v d D s s J n F 1 b 3 Q 7 U 2 V j d G l v b j E v V G F i b G U y N D U v Q 2 h h b m d l Z C B U e X B l L n t B c H B s a W N h d G l v b n M g U m V j Z W l 2 Z W Q g a W 4 g T W F y Y 2 g s M T J 9 J n F 1 b 3 Q 7 L C Z x d W 9 0 O 1 N l Y 3 R p b 2 4 x L 1 R h Y m x l M j Q 1 L 0 N o Y W 5 n Z W Q g V H l w Z S 5 7 V G 9 0 Y W w s M T N 9 J n F 1 b 3 Q 7 L C Z x d W 9 0 O 1 N l Y 3 R p b 2 4 x L 1 R h Y m x l M j Q 1 L 0 N o Y W 5 n Z W Q g V H l w Z S 5 7 J S B v Z i B U b 3 R h b C B B c H B s a W N h d G l v b n M g L D E 0 f S Z x d W 9 0 O 1 0 s J n F 1 b 3 Q 7 U m V s Y X R p b 2 5 z a G l w S W 5 m b y Z x d W 9 0 O z p b X X 0 i I C 8 + P C 9 T d G F i b G V F b n R y a W V z P j w v S X R l b T 4 8 S X R l b T 4 8 S X R l b U x v Y 2 F 0 a W 9 u P j x J d G V t V H l w Z T 5 G b 3 J t d W x h P C 9 J d G V t V H l w Z T 4 8 S X R l b V B h d G g + U 2 V j d G l v b j E v V G F i b G U y N D U v U 2 9 1 c m N l P C 9 J d G V t U G F 0 a D 4 8 L 0 l 0 Z W 1 M b 2 N h d G l v b j 4 8 U 3 R h Y m x l R W 5 0 c m l l c y A v P j w v S X R l b T 4 8 S X R l b T 4 8 S X R l b U x v Y 2 F 0 a W 9 u P j x J d G V t V H l w Z T 5 G b 3 J t d W x h P C 9 J d G V t V H l w Z T 4 8 S X R l b V B h d G g + U 2 V j d G l v b j E v V G F i b G U y N D U v Q 2 h h b m d l Z C U y M F R 5 c G U 8 L 0 l 0 Z W 1 Q Y X R o P j w v S X R l b U x v Y 2 F 0 a W 9 u P j x T d G F i b G V F b n R y a W V z I C 8 + P C 9 J d G V t P j x J d G V t P j x J d G V t T G 9 j Y X R p b 2 4 + P E l 0 Z W 1 U e X B l P k Z v c m 1 1 b G E 8 L 0 l 0 Z W 1 U e X B l P j x J d G V t U G F 0 a D 5 T Z W N 0 a W 9 u M S 9 U Y W J s Z T I 0 N S U y M C g y K 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j E t M D Y t M z B U M T U 6 N T A 6 N T A u N z Y x N T c z N F o i I C 8 + P E V u d H J 5 I F R 5 c G U 9 I k Z p b G x D b 2 x 1 b W 5 U e X B l c y I g V m F s d W U 9 I n N C Z 0 F B Q U F B Q U F B P T 0 i I C 8 + P E V u d H J 5 I F R 5 c G U 9 I k Z p b G x D b 2 x 1 b W 5 O Y W 1 l c y I g V m F s d W U 9 I n N b J n F 1 b 3 Q 7 Q X B w b G l j Y X R p b 2 4 g Q 2 h h b m 5 l b C Z x d W 9 0 O y w m c X V v d D t U b 3 R h b C Z x d W 9 0 O y w m c X V v d D t P b m x p b m U m c X V v d D s s J n F 1 b 3 Q 7 U G F w Z X I g W 2 5 v d G U g M V 0 m c X V v d D s s J n F 1 b 3 Q 7 U G h v b m U g W 2 5 v d G U g M V 1 b b m 9 0 Z T J d J n F 1 b 3 Q 7 L C Z x d W 9 0 O 1 V u a 2 5 v d 2 4 g W 2 5 v d G U g M 1 0 m c X V v d D s s J n F 1 b 3 Q 7 J S B P b m x p b m U 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T I 0 N S A o M i k v Q 2 h h b m d l Z C B U e X B l M i 5 7 Q X B w b G l j Y X R p b 2 4 g Q 2 h h b m 5 l b C w w f S Z x d W 9 0 O y w m c X V v d D t T Z W N 0 a W 9 u M S 9 U Y W J s Z T I 0 N S A o M i k v Q 2 h h b m d l Z C B U e X B l M i 5 7 V G 9 0 Y W w s M X 0 m c X V v d D s s J n F 1 b 3 Q 7 U 2 V j d G l v b j E v V G F i b G U y N D U g K D I p L 0 N o Y W 5 n Z W Q g V H l w Z T I u e 0 9 u b G l u Z S w y f S Z x d W 9 0 O y w m c X V v d D t T Z W N 0 a W 9 u M S 9 U Y W J s Z T I 0 N S A o M i k v Q 2 h h b m d l Z C B U e X B l M i 5 7 U G F w Z X I g W 2 5 v d G U g M V 0 s M 3 0 m c X V v d D s s J n F 1 b 3 Q 7 U 2 V j d G l v b j E v V G F i b G U y N D U g K D I p L 0 N o Y W 5 n Z W Q g V H l w Z T I u e 1 B o b 2 5 l I F t u b 3 R l I D F d W 2 5 v d G U y X S w 0 f S Z x d W 9 0 O y w m c X V v d D t T Z W N 0 a W 9 u M S 9 U Y W J s Z T I 0 N S A o M i k v Q 2 h h b m d l Z C B U e X B l M i 5 7 V W 5 r b m 9 3 b i B b b m 9 0 Z S A z X S w 1 f S Z x d W 9 0 O y w m c X V v d D t T Z W N 0 a W 9 u M S 9 U Y W J s Z T I 0 N S A o M i k v Q 2 h h b m d l Z C B U e X B l M i 5 7 J S B P b m x p b m U s N n 0 m c X V v d D t d L C Z x d W 9 0 O 0 N v b H V t b k N v d W 5 0 J n F 1 b 3 Q 7 O j c s J n F 1 b 3 Q 7 S 2 V 5 Q 2 9 s d W 1 u T m F t Z X M m c X V v d D s 6 W 1 0 s J n F 1 b 3 Q 7 Q 2 9 s d W 1 u S W R l b n R p d G l l c y Z x d W 9 0 O z p b J n F 1 b 3 Q 7 U 2 V j d G l v b j E v V G F i b G U y N D U g K D I p L 0 N o Y W 5 n Z W Q g V H l w Z T I u e 0 F w c G x p Y 2 F 0 a W 9 u I E N o Y W 5 u Z W w s M H 0 m c X V v d D s s J n F 1 b 3 Q 7 U 2 V j d G l v b j E v V G F i b G U y N D U g K D I p L 0 N o Y W 5 n Z W Q g V H l w Z T I u e 1 R v d G F s L D F 9 J n F 1 b 3 Q 7 L C Z x d W 9 0 O 1 N l Y 3 R p b 2 4 x L 1 R h Y m x l M j Q 1 I C g y K S 9 D a G F u Z 2 V k I F R 5 c G U y L n t P b m x p b m U s M n 0 m c X V v d D s s J n F 1 b 3 Q 7 U 2 V j d G l v b j E v V G F i b G U y N D U g K D I p L 0 N o Y W 5 n Z W Q g V H l w Z T I u e 1 B h c G V y I F t u b 3 R l I D F d L D N 9 J n F 1 b 3 Q 7 L C Z x d W 9 0 O 1 N l Y 3 R p b 2 4 x L 1 R h Y m x l M j Q 1 I C g y K S 9 D a G F u Z 2 V k I F R 5 c G U y L n t Q a G 9 u Z S B b b m 9 0 Z S A x X V t u b 3 R l M l 0 s N H 0 m c X V v d D s s J n F 1 b 3 Q 7 U 2 V j d G l v b j E v V G F i b G U y N D U g K D I p L 0 N o Y W 5 n Z W Q g V H l w Z T I u e 1 V u a 2 5 v d 2 4 g W 2 5 v d G U g M 1 0 s N X 0 m c X V v d D s s J n F 1 b 3 Q 7 U 2 V j d G l v b j E v V G F i b G U y N D U g K D I p L 0 N o Y W 5 n Z W Q g V H l w Z T I u e y U g T 2 5 s a W 5 l L D Z 9 J n F 1 b 3 Q 7 X S w m c X V v d D t S Z W x h d G l v b n N o a X B J b m Z v J n F 1 b 3 Q 7 O l t d f S I g L z 4 8 L 1 N 0 Y W J s Z U V u d H J p Z X M + P C 9 J d G V t P j x J d G V t P j x J d G V t T G 9 j Y X R p b 2 4 + P E l 0 Z W 1 U e X B l P k Z v c m 1 1 b G E 8 L 0 l 0 Z W 1 U e X B l P j x J d G V t U G F 0 a D 5 T Z W N 0 a W 9 u M S 9 U Y W J s Z T I 0 N S U y M C g y K S 9 T b 3 V y Y 2 U 8 L 0 l 0 Z W 1 Q Y X R o P j w v S X R l b U x v Y 2 F 0 a W 9 u P j x T d G F i b G V F b n R y a W V z I C 8 + P C 9 J d G V t P j x J d G V t P j x J d G V t T G 9 j Y X R p b 2 4 + P E l 0 Z W 1 U e X B l P k Z v c m 1 1 b G E 8 L 0 l 0 Z W 1 U e X B l P j x J d G V t U G F 0 a D 5 T Z W N 0 a W 9 u M S 9 U Y W J s Z T I 0 N S U y M C g y K S 9 D a G F u Z 2 V k J T I w V H l w Z T w v S X R l b V B h d G g + P C 9 J d G V t T G 9 j Y X R p b 2 4 + P F N 0 Y W J s Z U V u d H J p Z X M g L z 4 8 L 0 l 0 Z W 0 + P E l 0 Z W 0 + P E l 0 Z W 1 M b 2 N h d G l v b j 4 8 S X R l b V R 5 c G U + R m 9 y b X V s Y T w v S X R l b V R 5 c G U + P E l 0 Z W 1 Q Y X R o P l N l Y 3 R p b 2 4 x L 1 R h Y m x l M j Q 1 J T I w K D I p L 0 R l b W 9 0 Z W Q l M j B I Z W F k Z X J z P C 9 J d G V t U G F 0 a D 4 8 L 0 l 0 Z W 1 M b 2 N h d G l v b j 4 8 U 3 R h Y m x l R W 5 0 c m l l c y A v P j w v S X R l b T 4 8 S X R l b T 4 8 S X R l b U x v Y 2 F 0 a W 9 u P j x J d G V t V H l w Z T 5 G b 3 J t d W x h P C 9 J d G V t V H l w Z T 4 8 S X R l b V B h d G g + U 2 V j d G l v b j E v V G F i b G U y N D U l M j A o M i k v Q 2 h h b m d l Z C U y M F R 5 c G U x P C 9 J d G V t U G F 0 a D 4 8 L 0 l 0 Z W 1 M b 2 N h d G l v b j 4 8 U 3 R h Y m x l R W 5 0 c m l l c y A v P j w v S X R l b T 4 8 S X R l b T 4 8 S X R l b U x v Y 2 F 0 a W 9 u P j x J d G V t V H l w Z T 5 G b 3 J t d W x h P C 9 J d G V t V H l w Z T 4 8 S X R l b V B h d G g + U 2 V j d G l v b j E v V G F i b G U y N D U l M j A o M i k v V H J h b n N w b 3 N l Z C U y M F R h Y m x l P C 9 J d G V t U G F 0 a D 4 8 L 0 l 0 Z W 1 M b 2 N h d G l v b j 4 8 U 3 R h Y m x l R W 5 0 c m l l c y A v P j w v S X R l b T 4 8 S X R l b T 4 8 S X R l b U x v Y 2 F 0 a W 9 u P j x J d G V t V H l w Z T 5 G b 3 J t d W x h P C 9 J d G V t V H l w Z T 4 8 S X R l b V B h d G g + U 2 V j d G l v b j E v V G F i b G U y N D U l M j A o M i k v U H J v b W 9 0 Z W Q l M j B I Z W F k Z X J z P C 9 J d G V t U G F 0 a D 4 8 L 0 l 0 Z W 1 M b 2 N h d G l v b j 4 8 U 3 R h Y m x l R W 5 0 c m l l c y A v P j w v S X R l b T 4 8 S X R l b T 4 8 S X R l b U x v Y 2 F 0 a W 9 u P j x J d G V t V H l w Z T 5 G b 3 J t d W x h P C 9 J d G V t V H l w Z T 4 8 S X R l b V B h d G g + U 2 V j d G l v b j E v V G F i b G U y N D U l M j A o M i k v Q 2 h h b m d l Z C U y M F R 5 c G U y P C 9 J d G V t U G F 0 a D 4 8 L 0 l 0 Z W 1 M b 2 N h d G l v b j 4 8 U 3 R h Y m x l R W 5 0 c m l l c y A v P j w v S X R l b T 4 8 S X R l b T 4 8 S X R l b U x v Y 2 F 0 a W 9 u P j x J d G V t V H l w Z T 5 G b 3 J t d W x h P C 9 J d G V t V H l w Z T 4 8 S X R l b V B h d G g + U 2 V j d G l v b j E v V G F i b G U y N D U l M j A o M y k 8 L 0 l 0 Z W 1 Q Y X R o P j w v S X R l b U x v Y 2 F 0 a W 9 u P j x T d G F i b G V F b n R y a W V z P j x F b n R y e S B U e X B l P S J J c 1 B y a X Z h d G U i I F Z h b H V l P S J s M C I g L z 4 8 R W 5 0 c n k g V H l w Z T 0 i T m F 2 a W d h d G l v b l N 0 Z X B O Y W 1 l I i B W Y W x 1 Z T 0 i c 0 5 h d m l n Y X R p b 2 4 i I C 8 + P E V u d H J 5 I F R 5 c G U 9 I k J 1 Z m Z l c k 5 l e H R S Z W Z y Z X N o I i B W Y W x 1 Z T 0 i b D E i I C 8 + P E V u d H J 5 I F R 5 c G U 9 I l J l c 3 V s d F R 5 c G U i I F Z h b H V l P S J z V G F i b G U i I C 8 + P E V u d H J 5 I F R 5 c G U 9 I k Z p b G x F b m F i b G V k I i B W Y W x 1 Z T 0 i b D E i I C 8 + P E V u d H J 5 I F R 5 c G U 9 I k Z p b G x P Y m p l Y 3 R U e X B l I i B W Y W x 1 Z T 0 i c 1 R h Y m x l I i A v P j x F b n R y e S B U e X B l P S J G a W x s V G 9 E Y X R h T W 9 k Z W x F b m F i b G V k I i B W Y W x 1 Z T 0 i b D A i I C 8 + P E V u d H J 5 I F R 5 c G U 9 I k Z p b G x U Y X J n Z X Q i I F Z h b H V l P S J z V G F i b G U y N D V f X z I 4 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B Z G R l Z F R v R G F 0 Y U 1 v Z G V s I i B W Y W x 1 Z T 0 i b D A i I C 8 + P E V u d H J 5 I F R 5 c G U 9 I k Z p b G x F c n J v c k N v Z G U i I F Z h b H V l P S J z V W 5 r b m 9 3 b i I g L z 4 8 R W 5 0 c n k g V H l w Z T 0 i R m l s b E V y c m 9 y Q 2 9 1 b n Q i I F Z h b H V l P S J s M C I g L z 4 8 R W 5 0 c n k g V H l w Z T 0 i R m l s b E x h c 3 R V c G R h d G V k I i B W Y W x 1 Z T 0 i Z D I w M j E t M D Y t M z B U M T U 6 N T A 6 N T A u N z Y x N T c z N F o i I C 8 + P E V u d H J 5 I F R 5 c G U 9 I k Z p b G x D b 2 x 1 b W 5 U e X B l c y I g V m F s d W U 9 I n N C Z 0 F B Q U F B Q U F B P T 0 i I C 8 + P E V u d H J 5 I F R 5 c G U 9 I k Z p b G x D b 2 x 1 b W 5 O Y W 1 l c y I g V m F s d W U 9 I n N b J n F 1 b 3 Q 7 Q X B w b G l j Y X R p b 2 4 g Q 2 h h b m 5 l b C Z x d W 9 0 O y w m c X V v d D t U b 3 R h b C Z x d W 9 0 O y w m c X V v d D t P b m x p b m U m c X V v d D s s J n F 1 b 3 Q 7 U G F w Z X I g W 2 5 v d G U g M V 0 m c X V v d D s s J n F 1 b 3 Q 7 U G h v b m U g W 2 5 v d G U g M V 1 b b m 9 0 Z T J d J n F 1 b 3 Q 7 L C Z x d W 9 0 O 1 V u a 2 5 v d 2 4 g W 2 5 v d G U g M 1 0 m c X V v d D s s J n F 1 b 3 Q 7 J S B P b m x p b m U m c X V v d D t d I i A v P j x F b n R y e S B U e X B l P S J G a W x s U 3 R h d H V z I i B W Y W x 1 Z T 0 i c 0 N v b X B s Z X R l I i A v P j x F b n R y e S B U e X B l P S J G a W x s Q 2 9 1 b n Q i I F Z h b H V l P S J s M T Q i I C 8 + P E V u d H J 5 I F R 5 c G U 9 I l J l b G F 0 a W 9 u c 2 h p c E l u Z m 9 D b 2 5 0 Y W l u Z X I i I F Z h b H V l P S J z e y Z x d W 9 0 O 2 N v b H V t b k N v d W 5 0 J n F 1 b 3 Q 7 O j c s J n F 1 b 3 Q 7 a 2 V 5 Q 2 9 s d W 1 u T m F t Z X M m c X V v d D s 6 W 1 0 s J n F 1 b 3 Q 7 c X V l c n l S Z W x h d G l v b n N o a X B z J n F 1 b 3 Q 7 O l t d L C Z x d W 9 0 O 2 N v b H V t b k l k Z W 5 0 a X R p Z X M m c X V v d D s 6 W y Z x d W 9 0 O 1 N l Y 3 R p b 2 4 x L 1 R h Y m x l M j Q 1 I C g y K S 9 D a G F u Z 2 V k I F R 5 c G U y L n t B c H B s a W N h d G l v b i B D a G F u b m V s L D B 9 J n F 1 b 3 Q 7 L C Z x d W 9 0 O 1 N l Y 3 R p b 2 4 x L 1 R h Y m x l M j Q 1 I C g y K S 9 D a G F u Z 2 V k I F R 5 c G U y L n t U b 3 R h b C w x f S Z x d W 9 0 O y w m c X V v d D t T Z W N 0 a W 9 u M S 9 U Y W J s Z T I 0 N S A o M i k v Q 2 h h b m d l Z C B U e X B l M i 5 7 T 2 5 s a W 5 l L D J 9 J n F 1 b 3 Q 7 L C Z x d W 9 0 O 1 N l Y 3 R p b 2 4 x L 1 R h Y m x l M j Q 1 I C g y K S 9 D a G F u Z 2 V k I F R 5 c G U y L n t Q Y X B l c i B b b m 9 0 Z S A x X S w z f S Z x d W 9 0 O y w m c X V v d D t T Z W N 0 a W 9 u M S 9 U Y W J s Z T I 0 N S A o M i k v Q 2 h h b m d l Z C B U e X B l M i 5 7 U G h v b m U g W 2 5 v d G U g M V 1 b b m 9 0 Z T J d L D R 9 J n F 1 b 3 Q 7 L C Z x d W 9 0 O 1 N l Y 3 R p b 2 4 x L 1 R h Y m x l M j Q 1 I C g y K S 9 D a G F u Z 2 V k I F R 5 c G U y L n t V b m t u b 3 d u I F t u b 3 R l I D N d L D V 9 J n F 1 b 3 Q 7 L C Z x d W 9 0 O 1 N l Y 3 R p b 2 4 x L 1 R h Y m x l M j Q 1 I C g y K S 9 D a G F u Z 2 V k I F R 5 c G U y L n s l I E 9 u b G l u Z S w 2 f S Z x d W 9 0 O 1 0 s J n F 1 b 3 Q 7 Q 2 9 s d W 1 u Q 2 9 1 b n Q m c X V v d D s 6 N y w m c X V v d D t L Z X l D b 2 x 1 b W 5 O Y W 1 l c y Z x d W 9 0 O z p b X S w m c X V v d D t D b 2 x 1 b W 5 J Z G V u d G l 0 a W V z J n F 1 b 3 Q 7 O l s m c X V v d D t T Z W N 0 a W 9 u M S 9 U Y W J s Z T I 0 N S A o M i k v Q 2 h h b m d l Z C B U e X B l M i 5 7 Q X B w b G l j Y X R p b 2 4 g Q 2 h h b m 5 l b C w w f S Z x d W 9 0 O y w m c X V v d D t T Z W N 0 a W 9 u M S 9 U Y W J s Z T I 0 N S A o M i k v Q 2 h h b m d l Z C B U e X B l M i 5 7 V G 9 0 Y W w s M X 0 m c X V v d D s s J n F 1 b 3 Q 7 U 2 V j d G l v b j E v V G F i b G U y N D U g K D I p L 0 N o Y W 5 n Z W Q g V H l w Z T I u e 0 9 u b G l u Z S w y f S Z x d W 9 0 O y w m c X V v d D t T Z W N 0 a W 9 u M S 9 U Y W J s Z T I 0 N S A o M i k v Q 2 h h b m d l Z C B U e X B l M i 5 7 U G F w Z X I g W 2 5 v d G U g M V 0 s M 3 0 m c X V v d D s s J n F 1 b 3 Q 7 U 2 V j d G l v b j E v V G F i b G U y N D U g K D I p L 0 N o Y W 5 n Z W Q g V H l w Z T I u e 1 B o b 2 5 l I F t u b 3 R l I D F d W 2 5 v d G U y X S w 0 f S Z x d W 9 0 O y w m c X V v d D t T Z W N 0 a W 9 u M S 9 U Y W J s Z T I 0 N S A o M i k v Q 2 h h b m d l Z C B U e X B l M i 5 7 V W 5 r b m 9 3 b i B b b m 9 0 Z S A z X S w 1 f S Z x d W 9 0 O y w m c X V v d D t T Z W N 0 a W 9 u M S 9 U Y W J s Z T I 0 N S A o M i k v Q 2 h h b m d l Z C B U e X B l M i 5 7 J S B P b m x p b m U s N n 0 m c X V v d D t d L C Z x d W 9 0 O 1 J l b G F 0 a W 9 u c 2 h p c E l u Z m 8 m c X V v d D s 6 W 1 1 9 I i A v P j x F b n R y e S B U e X B l P S J M b 2 F k Z W R U b 0 F u Y W x 5 c 2 l z U 2 V y d m l j Z X M i I F Z h b H V l P S J s M C I g L z 4 8 L 1 N 0 Y W J s Z U V u d H J p Z X M + P C 9 J d G V t P j x J d G V t P j x J d G V t T G 9 j Y X R p b 2 4 + P E l 0 Z W 1 U e X B l P k Z v c m 1 1 b G E 8 L 0 l 0 Z W 1 U e X B l P j x J d G V t U G F 0 a D 5 T Z W N 0 a W 9 u M S 9 U Y W J s Z T I 0 N S U y M C g z K S 9 T b 3 V y Y 2 U 8 L 0 l 0 Z W 1 Q Y X R o P j w v S X R l b U x v Y 2 F 0 a W 9 u P j x T d G F i b G V F b n R y a W V z I C 8 + P C 9 J d G V t P j x J d G V t P j x J d G V t T G 9 j Y X R p b 2 4 + P E l 0 Z W 1 U e X B l P k Z v c m 1 1 b G E 8 L 0 l 0 Z W 1 U e X B l P j x J d G V t U G F 0 a D 5 T Z W N 0 a W 9 u M S 9 U Y W J s Z T I 0 N S U y M C g z K S 9 D a G F u Z 2 V k J T I w V H l w Z T w v S X R l b V B h d G g + P C 9 J d G V t T G 9 j Y X R p b 2 4 + P F N 0 Y W J s Z U V u d H J p Z X M g L z 4 8 L 0 l 0 Z W 0 + P E l 0 Z W 0 + P E l 0 Z W 1 M b 2 N h d G l v b j 4 8 S X R l b V R 5 c G U + R m 9 y b X V s Y T w v S X R l b V R 5 c G U + P E l 0 Z W 1 Q Y X R o P l N l Y 3 R p b 2 4 x L 1 R h Y m x l M j Q 1 J T I w K D M p L 0 R l b W 9 0 Z W Q l M j B I Z W F k Z X J z P C 9 J d G V t U G F 0 a D 4 8 L 0 l 0 Z W 1 M b 2 N h d G l v b j 4 8 U 3 R h Y m x l R W 5 0 c m l l c y A v P j w v S X R l b T 4 8 S X R l b T 4 8 S X R l b U x v Y 2 F 0 a W 9 u P j x J d G V t V H l w Z T 5 G b 3 J t d W x h P C 9 J d G V t V H l w Z T 4 8 S X R l b V B h d G g + U 2 V j d G l v b j E v V G F i b G U y N D U l M j A o M y k v Q 2 h h b m d l Z C U y M F R 5 c G U x P C 9 J d G V t U G F 0 a D 4 8 L 0 l 0 Z W 1 M b 2 N h d G l v b j 4 8 U 3 R h Y m x l R W 5 0 c m l l c y A v P j w v S X R l b T 4 8 S X R l b T 4 8 S X R l b U x v Y 2 F 0 a W 9 u P j x J d G V t V H l w Z T 5 G b 3 J t d W x h P C 9 J d G V t V H l w Z T 4 8 S X R l b V B h d G g + U 2 V j d G l v b j E v V G F i b G U y N D U l M j A o M y k v V H J h b n N w b 3 N l Z C U y M F R h Y m x l P C 9 J d G V t U G F 0 a D 4 8 L 0 l 0 Z W 1 M b 2 N h d G l v b j 4 8 U 3 R h Y m x l R W 5 0 c m l l c y A v P j w v S X R l b T 4 8 S X R l b T 4 8 S X R l b U x v Y 2 F 0 a W 9 u P j x J d G V t V H l w Z T 5 G b 3 J t d W x h P C 9 J d G V t V H l w Z T 4 8 S X R l b V B h d G g + U 2 V j d G l v b j E v V G F i b G U y N D U l M j A o M y k v U H J v b W 9 0 Z W Q l M j B I Z W F k Z X J z P C 9 J d G V t U G F 0 a D 4 8 L 0 l 0 Z W 1 M b 2 N h d G l v b j 4 8 U 3 R h Y m x l R W 5 0 c m l l c y A v P j w v S X R l b T 4 8 S X R l b T 4 8 S X R l b U x v Y 2 F 0 a W 9 u P j x J d G V t V H l w Z T 5 G b 3 J t d W x h P C 9 J d G V t V H l w Z T 4 8 S X R l b V B h d G g + U 2 V j d G l v b j E v V G F i b G U y N D U l M j A o M y k v Q 2 h h b m d l Z C U y M F R 5 c G U y P C 9 J d G V t U G F 0 a D 4 8 L 0 l 0 Z W 1 M b 2 N h d G l v b j 4 8 U 3 R h Y m x l R W 5 0 c m l l c y A v P j w v S X R l b T 4 8 S X R l b T 4 8 S X R l b U x v Y 2 F 0 a W 9 u P j x J d G V t V H l w Z T 5 G b 3 J t d W x h P C 9 J d G V t V H l w Z T 4 8 S X R l b V B h d G g + U 2 V j d G l v b j E v V G F i b G U y N D U l M j A o N C k 8 L 0 l 0 Z W 1 Q Y X R o P j w v S X R l b U x v Y 2 F 0 a W 9 u P j x T d G F i b G V F b n R y a W V z P j x F b n R y e S B U e X B l P S J J c 1 B y a X Z h d G U i I F Z h b H V l P S J s M C I g L z 4 8 R W 5 0 c n k g V H l w Z T 0 i T m F 2 a W d h d G l v b l N 0 Z X B O Y W 1 l I i B W Y W x 1 Z T 0 i c 0 5 h d m l n Y X R p b 2 4 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V G F i b G U y N D V f X z I 4 M T I 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F c n J v c k N v Z G U i I F Z h b H V l P S J z V W 5 r b m 9 3 b i I g L z 4 8 R W 5 0 c n k g V H l w Z T 0 i R m l s b E x h c 3 R V c G R h d G V k I i B W Y W x 1 Z T 0 i Z D I w M j E t M D Y t M z B U M T U 6 N T A 6 N T A u N z Y x N T c z N F o i I C 8 + P E V u d H J 5 I F R 5 c G U 9 I k Z p b G x D b 2 x 1 b W 5 U e X B l c y I g V m F s d W U 9 I n N C Z 0 F B Q U F B Q U F B P T 0 i I C 8 + P E V u d H J 5 I F R 5 c G U 9 I k Z p b G x D b 2 x 1 b W 5 O Y W 1 l c y I g V m F s d W U 9 I n N b J n F 1 b 3 Q 7 Q X B w b G l j Y X R p b 2 4 g Q 2 h h b m 5 l b C Z x d W 9 0 O y w m c X V v d D t U b 3 R h b C Z x d W 9 0 O y w m c X V v d D t P b m x p b m U m c X V v d D s s J n F 1 b 3 Q 7 U G F w Z X I g W 2 5 v d G U g M V 0 m c X V v d D s s J n F 1 b 3 Q 7 U G h v b m U g W 2 5 v d G U g M V 1 b b m 9 0 Z T J d J n F 1 b 3 Q 7 L C Z x d W 9 0 O 1 V u a 2 5 v d 2 4 g W 2 5 v d G U g M 1 0 m c X V v d D s s J n F 1 b 3 Q 7 J S B P b m x p b m U m c X V v d D t d I i A v P j x F b n R y e S B U e X B l P S J G a W x s U 3 R h d H V z I i B W Y W x 1 Z T 0 i c 0 N v b X B s Z X R l I i A v P j x F b n R y e S B U e X B l P S J G a W x s Q 2 9 1 b n Q i I F Z h b H V l P S J s M T Q i I C 8 + P E V u d H J 5 I F R 5 c G U 9 I k Z p b G x F c n J v c k N v d W 5 0 I i B W Y W x 1 Z T 0 i b D A i I C 8 + P E V u d H J 5 I F R 5 c G U 9 I l J l b G F 0 a W 9 u c 2 h p c E l u Z m 9 D b 2 5 0 Y W l u Z X I i I F Z h b H V l P S J z e y Z x d W 9 0 O 2 N v b H V t b k N v d W 5 0 J n F 1 b 3 Q 7 O j c s J n F 1 b 3 Q 7 a 2 V 5 Q 2 9 s d W 1 u T m F t Z X M m c X V v d D s 6 W 1 0 s J n F 1 b 3 Q 7 c X V l c n l S Z W x h d G l v b n N o a X B z J n F 1 b 3 Q 7 O l t d L C Z x d W 9 0 O 2 N v b H V t b k l k Z W 5 0 a X R p Z X M m c X V v d D s 6 W y Z x d W 9 0 O 1 N l Y 3 R p b 2 4 x L 1 R h Y m x l M j Q 1 I C g y K S 9 D a G F u Z 2 V k I F R 5 c G U y L n t B c H B s a W N h d G l v b i B D a G F u b m V s L D B 9 J n F 1 b 3 Q 7 L C Z x d W 9 0 O 1 N l Y 3 R p b 2 4 x L 1 R h Y m x l M j Q 1 I C g y K S 9 D a G F u Z 2 V k I F R 5 c G U y L n t U b 3 R h b C w x f S Z x d W 9 0 O y w m c X V v d D t T Z W N 0 a W 9 u M S 9 U Y W J s Z T I 0 N S A o M i k v Q 2 h h b m d l Z C B U e X B l M i 5 7 T 2 5 s a W 5 l L D J 9 J n F 1 b 3 Q 7 L C Z x d W 9 0 O 1 N l Y 3 R p b 2 4 x L 1 R h Y m x l M j Q 1 I C g y K S 9 D a G F u Z 2 V k I F R 5 c G U y L n t Q Y X B l c i B b b m 9 0 Z S A x X S w z f S Z x d W 9 0 O y w m c X V v d D t T Z W N 0 a W 9 u M S 9 U Y W J s Z T I 0 N S A o M i k v Q 2 h h b m d l Z C B U e X B l M i 5 7 U G h v b m U g W 2 5 v d G U g M V 1 b b m 9 0 Z T J d L D R 9 J n F 1 b 3 Q 7 L C Z x d W 9 0 O 1 N l Y 3 R p b 2 4 x L 1 R h Y m x l M j Q 1 I C g y K S 9 D a G F u Z 2 V k I F R 5 c G U y L n t V b m t u b 3 d u I F t u b 3 R l I D N d L D V 9 J n F 1 b 3 Q 7 L C Z x d W 9 0 O 1 N l Y 3 R p b 2 4 x L 1 R h Y m x l M j Q 1 I C g y K S 9 D a G F u Z 2 V k I F R 5 c G U y L n s l I E 9 u b G l u Z S w 2 f S Z x d W 9 0 O 1 0 s J n F 1 b 3 Q 7 Q 2 9 s d W 1 u Q 2 9 1 b n Q m c X V v d D s 6 N y w m c X V v d D t L Z X l D b 2 x 1 b W 5 O Y W 1 l c y Z x d W 9 0 O z p b X S w m c X V v d D t D b 2 x 1 b W 5 J Z G V u d G l 0 a W V z J n F 1 b 3 Q 7 O l s m c X V v d D t T Z W N 0 a W 9 u M S 9 U Y W J s Z T I 0 N S A o M i k v Q 2 h h b m d l Z C B U e X B l M i 5 7 Q X B w b G l j Y X R p b 2 4 g Q 2 h h b m 5 l b C w w f S Z x d W 9 0 O y w m c X V v d D t T Z W N 0 a W 9 u M S 9 U Y W J s Z T I 0 N S A o M i k v Q 2 h h b m d l Z C B U e X B l M i 5 7 V G 9 0 Y W w s M X 0 m c X V v d D s s J n F 1 b 3 Q 7 U 2 V j d G l v b j E v V G F i b G U y N D U g K D I p L 0 N o Y W 5 n Z W Q g V H l w Z T I u e 0 9 u b G l u Z S w y f S Z x d W 9 0 O y w m c X V v d D t T Z W N 0 a W 9 u M S 9 U Y W J s Z T I 0 N S A o M i k v Q 2 h h b m d l Z C B U e X B l M i 5 7 U G F w Z X I g W 2 5 v d G U g M V 0 s M 3 0 m c X V v d D s s J n F 1 b 3 Q 7 U 2 V j d G l v b j E v V G F i b G U y N D U g K D I p L 0 N o Y W 5 n Z W Q g V H l w Z T I u e 1 B o b 2 5 l I F t u b 3 R l I D F d W 2 5 v d G U y X S w 0 f S Z x d W 9 0 O y w m c X V v d D t T Z W N 0 a W 9 u M S 9 U Y W J s Z T I 0 N S A o M i k v Q 2 h h b m d l Z C B U e X B l M i 5 7 V W 5 r b m 9 3 b i B b b m 9 0 Z S A z X S w 1 f S Z x d W 9 0 O y w m c X V v d D t T Z W N 0 a W 9 u M S 9 U Y W J s Z T I 0 N S A o M i k v Q 2 h h b m d l Z C B U e X B l M i 5 7 J S B P b m x p b m U s N n 0 m c X V v d D t d L C Z x d W 9 0 O 1 J l b G F 0 a W 9 u c 2 h p c E l u Z m 8 m c X V v d D s 6 W 1 1 9 I i A v P j x F b n R y e S B U e X B l P S J M b 2 F k Z W R U b 0 F u Y W x 5 c 2 l z U 2 V y d m l j Z X M i I F Z h b H V l P S J s M C I g L z 4 8 R W 5 0 c n k g V H l w Z T 0 i Q W R k Z W R U b 0 R h d G F N b 2 R l b C I g V m F s d W U 9 I m w w I i A v P j w v U 3 R h Y m x l R W 5 0 c m l l c z 4 8 L 0 l 0 Z W 0 + P E l 0 Z W 0 + P E l 0 Z W 1 M b 2 N h d G l v b j 4 8 S X R l b V R 5 c G U + R m 9 y b X V s Y T w v S X R l b V R 5 c G U + P E l 0 Z W 1 Q Y X R o P l N l Y 3 R p b 2 4 x L 1 R h Y m x l M j Q 1 J T I w K D Q p L 1 N v d X J j Z T w v S X R l b V B h d G g + P C 9 J d G V t T G 9 j Y X R p b 2 4 + P F N 0 Y W J s Z U V u d H J p Z X M g L z 4 8 L 0 l 0 Z W 0 + P E l 0 Z W 0 + P E l 0 Z W 1 M b 2 N h d G l v b j 4 8 S X R l b V R 5 c G U + R m 9 y b X V s Y T w v S X R l b V R 5 c G U + P E l 0 Z W 1 Q Y X R o P l N l Y 3 R p b 2 4 x L 1 R h Y m x l M j Q 1 J T I w K D Q p L 0 N o Y W 5 n Z W Q l M j B U e X B l P C 9 J d G V t U G F 0 a D 4 8 L 0 l 0 Z W 1 M b 2 N h d G l v b j 4 8 U 3 R h Y m x l R W 5 0 c m l l c y A v P j w v S X R l b T 4 8 S X R l b T 4 8 S X R l b U x v Y 2 F 0 a W 9 u P j x J d G V t V H l w Z T 5 G b 3 J t d W x h P C 9 J d G V t V H l w Z T 4 8 S X R l b V B h d G g + U 2 V j d G l v b j E v V G F i b G U y N D U l M j A o N C k v R G V t b 3 R l Z C U y M E h l Y W R l c n M 8 L 0 l 0 Z W 1 Q Y X R o P j w v S X R l b U x v Y 2 F 0 a W 9 u P j x T d G F i b G V F b n R y a W V z I C 8 + P C 9 J d G V t P j x J d G V t P j x J d G V t T G 9 j Y X R p b 2 4 + P E l 0 Z W 1 U e X B l P k Z v c m 1 1 b G E 8 L 0 l 0 Z W 1 U e X B l P j x J d G V t U G F 0 a D 5 T Z W N 0 a W 9 u M S 9 U Y W J s Z T I 0 N S U y M C g 0 K S 9 D a G F u Z 2 V k J T I w V H l w Z T E 8 L 0 l 0 Z W 1 Q Y X R o P j w v S X R l b U x v Y 2 F 0 a W 9 u P j x T d G F i b G V F b n R y a W V z I C 8 + P C 9 J d G V t P j x J d G V t P j x J d G V t T G 9 j Y X R p b 2 4 + P E l 0 Z W 1 U e X B l P k Z v c m 1 1 b G E 8 L 0 l 0 Z W 1 U e X B l P j x J d G V t U G F 0 a D 5 T Z W N 0 a W 9 u M S 9 U Y W J s Z T I 0 N S U y M C g 0 K S 9 U c m F u c 3 B v c 2 V k J T I w V G F i b G U 8 L 0 l 0 Z W 1 Q Y X R o P j w v S X R l b U x v Y 2 F 0 a W 9 u P j x T d G F i b G V F b n R y a W V z I C 8 + P C 9 J d G V t P j x J d G V t P j x J d G V t T G 9 j Y X R p b 2 4 + P E l 0 Z W 1 U e X B l P k Z v c m 1 1 b G E 8 L 0 l 0 Z W 1 U e X B l P j x J d G V t U G F 0 a D 5 T Z W N 0 a W 9 u M S 9 U Y W J s Z T I 0 N S U y M C g 0 K S 9 Q c m 9 t b 3 R l Z C U y M E h l Y W R l c n M 8 L 0 l 0 Z W 1 Q Y X R o P j w v S X R l b U x v Y 2 F 0 a W 9 u P j x T d G F i b G V F b n R y a W V z I C 8 + P C 9 J d G V t P j x J d G V t P j x J d G V t T G 9 j Y X R p b 2 4 + P E l 0 Z W 1 U e X B l P k Z v c m 1 1 b G E 8 L 0 l 0 Z W 1 U e X B l P j x J d G V t U G F 0 a D 5 T Z W N 0 a W 9 u M S 9 U Y W J s Z T I 0 N S U y M C g 0 K S 9 D a G F u Z 2 V k J T I w V H l w Z T I 8 L 0 l 0 Z W 1 Q Y X R o P j w v S X R l b U x v Y 2 F 0 a W 9 u P j x T d G F i b G V F b n R y a W V z I C 8 + P C 9 J d G V t P j w v S X R l b X M + P C 9 M b 2 N h b F B h Y 2 t h Z 2 V N Z X R h Z G F 0 Y U Z p b G U + F g A A A F B L B Q Y A A A A A A A A A A A A A A A A A A A A A A A D a A A A A A Q A A A N C M n d 8 B F d E R j H o A w E / C l + s B A A A A Z 5 j L R B u / n U K o O p g x F N Y A I Q A A A A A C A A A A A A A D Z g A A w A A A A B A A A A A 2 W 9 R O K g 2 v E 0 C f q T / e 6 9 V 1 A A A A A A S A A A C g A A A A E A A A A C u n R x 1 s b f B d O B Z i z 8 v i l + N Q A A A A U D k g n v 8 a 8 w o Z 6 Z 7 6 z v d 0 H Z Y p + D b D 3 J Q 8 p B D J Q v q q 9 3 x y X a Z 9 h H B i 2 j C 3 W / y 0 v a v M o T v i C t 5 n d N B W Y o 4 U v h s V P P o H N f T g S G 2 y l p 8 J y 9 1 I s H g U A A A A a 2 U N 2 8 t U 4 G T n e b x 9 I 9 G C 0 U K l X j w = < / D a t a M a s h u p > 
</file>

<file path=customXml/item2.xml><?xml version="1.0" encoding="utf-8"?>
<metadata xmlns="http://www.objective.com/ecm/document/metadata/53D26341A57B383EE0540010E0463CCA" version="1.0.0">
  <systemFields>
    <field name="Objective-Id">
      <value order="0">A30267893</value>
    </field>
    <field name="Objective-Title">
      <value order="0">Best Start Grant Best Start Foods - July 2020 tables_v03 DRAFT</value>
    </field>
    <field name="Objective-Description">
      <value order="0"/>
    </field>
    <field name="Objective-CreationStamp">
      <value order="0">2020-10-02T15:34:17Z</value>
    </field>
    <field name="Objective-IsApproved">
      <value order="0">false</value>
    </field>
    <field name="Objective-IsPublished">
      <value order="0">false</value>
    </field>
    <field name="Objective-DatePublished">
      <value order="0"/>
    </field>
    <field name="Objective-ModificationStamp">
      <value order="0">2020-10-05T17:07:39Z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vA44050201</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AB3B036B-48F4-4271-8BE6-CB36F78B320D}">
  <ds:schemaRefs>
    <ds:schemaRef ds:uri="http://schemas.microsoft.com/DataMashup"/>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Table 1 Applications by Month</vt:lpstr>
      <vt:lpstr>Table 2 Applications by Type</vt:lpstr>
      <vt:lpstr>Table 3 Applications by Channel</vt:lpstr>
      <vt:lpstr>Table 4 Applications by Age </vt:lpstr>
      <vt:lpstr>Table 5 Applications by LA </vt:lpstr>
      <vt:lpstr>Table 6 Components by LA</vt:lpstr>
      <vt:lpstr>Table 7 Applications by Board</vt:lpstr>
      <vt:lpstr>Table 8 Components by Board</vt:lpstr>
      <vt:lpstr>Table 9 Applications by Births</vt:lpstr>
      <vt:lpstr>Table 10 Processing Times</vt:lpstr>
      <vt:lpstr>Table 11 Payments by LA</vt:lpstr>
      <vt:lpstr>Table 12 Payments by Month</vt:lpstr>
      <vt:lpstr>Table 13a Re-determinations</vt:lpstr>
      <vt:lpstr>Table 13b Appeals</vt:lpstr>
      <vt:lpstr>Table 14 Reviews</vt:lpstr>
      <vt:lpstr>Chart 1</vt:lpstr>
      <vt:lpstr>Chart 2</vt:lpstr>
      <vt:lpstr>Chart 3</vt:lpstr>
      <vt:lpstr>Table 2 - Full data</vt:lpstr>
      <vt:lpstr>Table 4 - Full data</vt:lpstr>
      <vt:lpstr>Table 5 - Full data</vt:lpstr>
      <vt:lpstr>Table 6 - Full data</vt:lpstr>
      <vt:lpstr>Table 7 - Full data</vt:lpstr>
      <vt:lpstr>Table 8 - Full data</vt:lpstr>
      <vt:lpstr>Table 9 Full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2022-01-21T13:23:07Z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A30267893</vt:lpwstr>
  </property>
  <property fmtid="{D5CDD505-2E9C-101B-9397-08002B2CF9AE}" pid="4" name="Objective-Title">
    <vt:lpwstr>Best Start Grant Best Start Foods - July 2020 tables_v03 DRAFT</vt:lpwstr>
  </property>
  <property fmtid="{D5CDD505-2E9C-101B-9397-08002B2CF9AE}" pid="5" name="Objective-Description">
    <vt:lpwstr/>
  </property>
  <property fmtid="{D5CDD505-2E9C-101B-9397-08002B2CF9AE}" pid="6" name="Objective-CreationStamp">
    <vt:filetime>2020-10-02T15:34:35Z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2020-10-05T17:07:39Z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vA44050201</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