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lockStructure="1"/>
  <bookViews>
    <workbookView xWindow="0" yWindow="0" windowWidth="9860" windowHeight="5690" tabRatio="852"/>
  </bookViews>
  <sheets>
    <sheet name="Contents" sheetId="1" r:id="rId1"/>
    <sheet name="Table 1 Applications by Month" sheetId="65" r:id="rId2"/>
    <sheet name="Table 2 Applications by Type" sheetId="66" r:id="rId3"/>
    <sheet name="Table 3 Applications by Channel" sheetId="73" r:id="rId4"/>
    <sheet name="Table 4 Applications by Age " sheetId="88" r:id="rId5"/>
    <sheet name="Table 5 Applications by LA " sheetId="89" r:id="rId6"/>
    <sheet name="Table 6 Components by LA" sheetId="74" r:id="rId7"/>
    <sheet name="Table 7 Applications by Board" sheetId="90" r:id="rId8"/>
    <sheet name="Table 8 Components by Board" sheetId="75" r:id="rId9"/>
    <sheet name="Table 9 Applications by Births" sheetId="71" r:id="rId10"/>
    <sheet name="Table 10 Processing Times" sheetId="72" r:id="rId11"/>
    <sheet name="Table 11 Payments by LA" sheetId="55" r:id="rId12"/>
    <sheet name="Table 12 Payments by Month" sheetId="64" r:id="rId13"/>
    <sheet name="Table 13a Re-determinations" sheetId="81" r:id="rId14"/>
    <sheet name="Table 13b Appeals" sheetId="93" r:id="rId15"/>
    <sheet name="Table 14 Reviews" sheetId="82" r:id="rId16"/>
    <sheet name="Chart 1" sheetId="23" r:id="rId17"/>
    <sheet name="Chart 2" sheetId="83" r:id="rId18"/>
    <sheet name="Chart 3" sheetId="84" r:id="rId19"/>
    <sheet name="Table 2 - Full data" sheetId="98" r:id="rId20"/>
    <sheet name="Table 4 - Full data" sheetId="97" r:id="rId21"/>
    <sheet name="Table 5 - Full data" sheetId="92" r:id="rId22"/>
    <sheet name="Table 6 - Full data" sheetId="94" r:id="rId23"/>
    <sheet name="Table 7 - Full data" sheetId="95" r:id="rId24"/>
    <sheet name="Table 8 - Full data" sheetId="96" r:id="rId25"/>
    <sheet name="Table 9 Full Data" sheetId="99" r:id="rId26"/>
  </sheets>
  <externalReferences>
    <externalReference r:id="rId27"/>
  </externalReferences>
  <definedNames>
    <definedName name="BENEFIT">[1]DATA!$D$2:$D$8</definedName>
    <definedName name="ExternalData_1" localSheetId="10" hidden="1">'Table 10 Processing Times'!$A$4:$I$36</definedName>
    <definedName name="ExternalData_1" localSheetId="3" hidden="1">'Table 3 Applications by Channel'!$A$4:$H$35</definedName>
    <definedName name="HOLIDAYS">[1]DATA!$K$2:$K$32</definedName>
    <definedName name="OUTCOME">[1]DATA!$W$2:$W$6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66" l="1"/>
  <c r="A9" i="66"/>
  <c r="A8" i="66"/>
  <c r="A7" i="89" l="1"/>
  <c r="A7" i="71"/>
  <c r="H7" i="71" s="1"/>
  <c r="A10" i="71"/>
  <c r="B10" i="71" s="1"/>
  <c r="A9" i="71"/>
  <c r="B9" i="71" s="1"/>
  <c r="A8" i="71"/>
  <c r="B8" i="71" s="1"/>
  <c r="A7" i="75"/>
  <c r="B7" i="75" s="1"/>
  <c r="A22" i="75"/>
  <c r="A23" i="75"/>
  <c r="K23" i="75" s="1"/>
  <c r="A24" i="75"/>
  <c r="L24" i="75" s="1"/>
  <c r="A21" i="75"/>
  <c r="K21" i="75" s="1"/>
  <c r="A23" i="90"/>
  <c r="J23" i="90" s="1"/>
  <c r="A22" i="90"/>
  <c r="A24" i="90"/>
  <c r="H24" i="90" s="1"/>
  <c r="A21" i="90"/>
  <c r="H21" i="90" s="1"/>
  <c r="B7" i="71" l="1"/>
  <c r="D9" i="71"/>
  <c r="G7" i="71"/>
  <c r="C10" i="71"/>
  <c r="I7" i="71"/>
  <c r="J7" i="71"/>
  <c r="J8" i="71"/>
  <c r="J10" i="71"/>
  <c r="I8" i="71"/>
  <c r="F8" i="71"/>
  <c r="I10" i="71"/>
  <c r="H8" i="71"/>
  <c r="H10" i="71"/>
  <c r="F10" i="71"/>
  <c r="D8" i="71"/>
  <c r="C7" i="71"/>
  <c r="D10" i="71"/>
  <c r="C8" i="71"/>
  <c r="J9" i="71"/>
  <c r="D7" i="71"/>
  <c r="I9" i="71"/>
  <c r="C9" i="71"/>
  <c r="E7" i="71"/>
  <c r="H9" i="71"/>
  <c r="F7" i="71"/>
  <c r="G10" i="71"/>
  <c r="G9" i="71"/>
  <c r="G8" i="71"/>
  <c r="F9" i="71"/>
  <c r="E10" i="71"/>
  <c r="E9" i="71"/>
  <c r="E8" i="71"/>
  <c r="H24" i="75"/>
  <c r="E24" i="75"/>
  <c r="M24" i="75"/>
  <c r="F24" i="75"/>
  <c r="G24" i="75"/>
  <c r="I24" i="75"/>
  <c r="B24" i="75"/>
  <c r="J24" i="75"/>
  <c r="C24" i="75"/>
  <c r="K24" i="75"/>
  <c r="D24" i="75"/>
  <c r="D23" i="75"/>
  <c r="L23" i="75"/>
  <c r="E23" i="75"/>
  <c r="M23" i="75"/>
  <c r="F23" i="75"/>
  <c r="G23" i="75"/>
  <c r="H23" i="75"/>
  <c r="B23" i="75"/>
  <c r="I23" i="75"/>
  <c r="J23" i="75"/>
  <c r="C23" i="75"/>
  <c r="D21" i="75"/>
  <c r="L21" i="75"/>
  <c r="E21" i="75"/>
  <c r="M21" i="75"/>
  <c r="F21" i="75"/>
  <c r="G21" i="75"/>
  <c r="H21" i="75"/>
  <c r="J21" i="75"/>
  <c r="I21" i="75"/>
  <c r="B21" i="75"/>
  <c r="C21" i="75"/>
  <c r="I24" i="90"/>
  <c r="B24" i="90"/>
  <c r="J24" i="90"/>
  <c r="C24" i="90"/>
  <c r="D24" i="90"/>
  <c r="E24" i="90"/>
  <c r="F24" i="90"/>
  <c r="G24" i="90"/>
  <c r="H23" i="90"/>
  <c r="I23" i="90"/>
  <c r="C23" i="90"/>
  <c r="F23" i="90"/>
  <c r="B23" i="90"/>
  <c r="D23" i="90"/>
  <c r="E23" i="90"/>
  <c r="G23" i="90"/>
  <c r="G21" i="90"/>
  <c r="I21" i="90"/>
  <c r="B21" i="90"/>
  <c r="J21" i="90"/>
  <c r="C21" i="90"/>
  <c r="D21" i="90"/>
  <c r="E21" i="90"/>
  <c r="F21" i="90"/>
  <c r="I9" i="66" l="1"/>
  <c r="G10" i="66"/>
  <c r="A12" i="66"/>
  <c r="C12" i="66" s="1"/>
  <c r="A11" i="66"/>
  <c r="E11" i="66" s="1"/>
  <c r="C8" i="66"/>
  <c r="A7" i="66"/>
  <c r="D7" i="66" s="1"/>
  <c r="A7" i="88"/>
  <c r="B7" i="88" s="1"/>
  <c r="J12" i="66" l="1"/>
  <c r="F10" i="66"/>
  <c r="H9" i="66"/>
  <c r="E7" i="66"/>
  <c r="F7" i="66"/>
  <c r="B12" i="66"/>
  <c r="G7" i="66"/>
  <c r="D11" i="66"/>
  <c r="J8" i="66"/>
  <c r="H12" i="66"/>
  <c r="D10" i="66"/>
  <c r="H8" i="66"/>
  <c r="B8" i="66"/>
  <c r="H7" i="66"/>
  <c r="G12" i="66"/>
  <c r="I11" i="66"/>
  <c r="K10" i="66"/>
  <c r="C10" i="66"/>
  <c r="E9" i="66"/>
  <c r="G8" i="66"/>
  <c r="H11" i="66"/>
  <c r="B10" i="66"/>
  <c r="F8" i="66"/>
  <c r="B7" i="66"/>
  <c r="J7" i="66"/>
  <c r="E12" i="66"/>
  <c r="G11" i="66"/>
  <c r="I10" i="66"/>
  <c r="K9" i="66"/>
  <c r="C9" i="66"/>
  <c r="E8" i="66"/>
  <c r="J11" i="66"/>
  <c r="F9" i="66"/>
  <c r="I7" i="66"/>
  <c r="F12" i="66"/>
  <c r="J10" i="66"/>
  <c r="D9" i="66"/>
  <c r="C7" i="66"/>
  <c r="K7" i="66"/>
  <c r="D12" i="66"/>
  <c r="F11" i="66"/>
  <c r="H10" i="66"/>
  <c r="J9" i="66"/>
  <c r="B9" i="66"/>
  <c r="D8" i="66"/>
  <c r="I12" i="66"/>
  <c r="K11" i="66"/>
  <c r="C11" i="66"/>
  <c r="E10" i="66"/>
  <c r="G9" i="66"/>
  <c r="I8" i="66"/>
  <c r="B11" i="66"/>
  <c r="K12" i="66"/>
  <c r="K8" i="66"/>
  <c r="M32" i="81"/>
  <c r="M33" i="81"/>
  <c r="M22" i="75" l="1"/>
  <c r="A20" i="75"/>
  <c r="M20" i="75" s="1"/>
  <c r="A19" i="75"/>
  <c r="K19" i="75" s="1"/>
  <c r="A18" i="75"/>
  <c r="L18" i="75" s="1"/>
  <c r="A17" i="75"/>
  <c r="J17" i="75" s="1"/>
  <c r="A16" i="75"/>
  <c r="J16" i="75" s="1"/>
  <c r="A15" i="75"/>
  <c r="M15" i="75" s="1"/>
  <c r="A14" i="75"/>
  <c r="M14" i="75" s="1"/>
  <c r="A13" i="75"/>
  <c r="K13" i="75" s="1"/>
  <c r="A12" i="75"/>
  <c r="L12" i="75" s="1"/>
  <c r="A11" i="75"/>
  <c r="J11" i="75" s="1"/>
  <c r="A10" i="75"/>
  <c r="K10" i="75" s="1"/>
  <c r="A9" i="75"/>
  <c r="J9" i="75" s="1"/>
  <c r="A8" i="75"/>
  <c r="A7" i="90"/>
  <c r="F7" i="90" s="1"/>
  <c r="F22" i="90"/>
  <c r="A20" i="90"/>
  <c r="C20" i="90" s="1"/>
  <c r="A19" i="90"/>
  <c r="J19" i="90" s="1"/>
  <c r="A18" i="90"/>
  <c r="H18" i="90" s="1"/>
  <c r="A17" i="90"/>
  <c r="D17" i="90" s="1"/>
  <c r="A16" i="90"/>
  <c r="F16" i="90" s="1"/>
  <c r="A15" i="90"/>
  <c r="D15" i="90" s="1"/>
  <c r="A14" i="90"/>
  <c r="F14" i="90" s="1"/>
  <c r="A13" i="90"/>
  <c r="D13" i="90" s="1"/>
  <c r="A12" i="90"/>
  <c r="G12" i="90" s="1"/>
  <c r="A11" i="90"/>
  <c r="J11" i="90" s="1"/>
  <c r="A10" i="90"/>
  <c r="J10" i="90" s="1"/>
  <c r="A9" i="90"/>
  <c r="B9" i="90" s="1"/>
  <c r="A8" i="90"/>
  <c r="B8" i="90" s="1"/>
  <c r="A14" i="88"/>
  <c r="J14" i="88" s="1"/>
  <c r="A16" i="88"/>
  <c r="J16" i="88" s="1"/>
  <c r="A19" i="88"/>
  <c r="I19" i="88" s="1"/>
  <c r="I7" i="88"/>
  <c r="H7" i="88"/>
  <c r="A18" i="88"/>
  <c r="E18" i="88" s="1"/>
  <c r="A17" i="88"/>
  <c r="H17" i="88" s="1"/>
  <c r="A15" i="88"/>
  <c r="D15" i="88" s="1"/>
  <c r="A13" i="88"/>
  <c r="G13" i="88" s="1"/>
  <c r="A12" i="88"/>
  <c r="E12" i="88" s="1"/>
  <c r="A11" i="88"/>
  <c r="F11" i="88" s="1"/>
  <c r="A10" i="88"/>
  <c r="I10" i="88" s="1"/>
  <c r="A9" i="88"/>
  <c r="E9" i="88" s="1"/>
  <c r="A8" i="88"/>
  <c r="H8" i="88" s="1"/>
  <c r="D7" i="88"/>
  <c r="A42" i="74"/>
  <c r="K42" i="74" s="1"/>
  <c r="A41" i="74"/>
  <c r="J41" i="74" s="1"/>
  <c r="A40" i="74"/>
  <c r="M40" i="74" s="1"/>
  <c r="A39" i="74"/>
  <c r="J39" i="74" s="1"/>
  <c r="A38" i="74"/>
  <c r="L38" i="74" s="1"/>
  <c r="A37" i="74"/>
  <c r="L37" i="74" s="1"/>
  <c r="A36" i="74"/>
  <c r="I36" i="74" s="1"/>
  <c r="A35" i="74"/>
  <c r="M35" i="74" s="1"/>
  <c r="A34" i="74"/>
  <c r="K34" i="74" s="1"/>
  <c r="A33" i="74"/>
  <c r="J33" i="74" s="1"/>
  <c r="A32" i="74"/>
  <c r="M32" i="74" s="1"/>
  <c r="A31" i="74"/>
  <c r="J31" i="74" s="1"/>
  <c r="A30" i="74"/>
  <c r="L30" i="74" s="1"/>
  <c r="A29" i="74"/>
  <c r="L29" i="74" s="1"/>
  <c r="A28" i="74"/>
  <c r="I28" i="74" s="1"/>
  <c r="A27" i="74"/>
  <c r="M27" i="74" s="1"/>
  <c r="A26" i="74"/>
  <c r="K26" i="74" s="1"/>
  <c r="A25" i="74"/>
  <c r="J25" i="74" s="1"/>
  <c r="A24" i="74"/>
  <c r="M24" i="74" s="1"/>
  <c r="A23" i="74"/>
  <c r="J23" i="74" s="1"/>
  <c r="A22" i="74"/>
  <c r="L22" i="74" s="1"/>
  <c r="A21" i="74"/>
  <c r="L21" i="74" s="1"/>
  <c r="A20" i="74"/>
  <c r="I20" i="74" s="1"/>
  <c r="A19" i="74"/>
  <c r="M19" i="74" s="1"/>
  <c r="A18" i="74"/>
  <c r="K18" i="74" s="1"/>
  <c r="A17" i="74"/>
  <c r="J17" i="74" s="1"/>
  <c r="A16" i="74"/>
  <c r="A15" i="74"/>
  <c r="J15" i="74" s="1"/>
  <c r="A14" i="74"/>
  <c r="L14" i="74" s="1"/>
  <c r="A13" i="74"/>
  <c r="L13" i="74" s="1"/>
  <c r="A12" i="74"/>
  <c r="I12" i="74" s="1"/>
  <c r="A11" i="74"/>
  <c r="M11" i="74" s="1"/>
  <c r="A10" i="74"/>
  <c r="K10" i="74" s="1"/>
  <c r="A9" i="74"/>
  <c r="A8" i="74"/>
  <c r="M8" i="74" s="1"/>
  <c r="A7" i="74"/>
  <c r="J7" i="74" s="1"/>
  <c r="J8" i="75" l="1"/>
  <c r="B8" i="75"/>
  <c r="B19" i="75"/>
  <c r="B20" i="75"/>
  <c r="B12" i="75"/>
  <c r="B14" i="75"/>
  <c r="H14" i="75"/>
  <c r="H20" i="75"/>
  <c r="H22" i="75"/>
  <c r="H13" i="75"/>
  <c r="H12" i="75"/>
  <c r="H19" i="75"/>
  <c r="H11" i="75"/>
  <c r="B13" i="75"/>
  <c r="H18" i="75"/>
  <c r="H10" i="75"/>
  <c r="H17" i="75"/>
  <c r="H9" i="75"/>
  <c r="H16" i="75"/>
  <c r="H8" i="75"/>
  <c r="H15" i="75"/>
  <c r="H7" i="75"/>
  <c r="B7" i="90"/>
  <c r="M16" i="74"/>
  <c r="E16" i="74"/>
  <c r="M9" i="74"/>
  <c r="B9" i="74"/>
  <c r="D11" i="88"/>
  <c r="C11" i="88"/>
  <c r="E14" i="88"/>
  <c r="H14" i="88"/>
  <c r="J12" i="88"/>
  <c r="J11" i="88"/>
  <c r="H13" i="88"/>
  <c r="D13" i="88"/>
  <c r="I17" i="88"/>
  <c r="H15" i="88"/>
  <c r="B17" i="88"/>
  <c r="D12" i="88"/>
  <c r="B9" i="75"/>
  <c r="D19" i="75"/>
  <c r="B16" i="75"/>
  <c r="E13" i="75"/>
  <c r="F9" i="75"/>
  <c r="I13" i="75"/>
  <c r="B10" i="75"/>
  <c r="M13" i="75"/>
  <c r="C11" i="75"/>
  <c r="B18" i="75"/>
  <c r="B11" i="75"/>
  <c r="G11" i="75"/>
  <c r="K11" i="75"/>
  <c r="D13" i="75"/>
  <c r="L19" i="75"/>
  <c r="D11" i="75"/>
  <c r="B17" i="75"/>
  <c r="E19" i="75"/>
  <c r="L13" i="75"/>
  <c r="L11" i="75"/>
  <c r="F17" i="75"/>
  <c r="I19" i="75"/>
  <c r="M19" i="75"/>
  <c r="E15" i="75"/>
  <c r="E7" i="75"/>
  <c r="C9" i="75"/>
  <c r="C16" i="75"/>
  <c r="C8" i="75"/>
  <c r="D10" i="75"/>
  <c r="E18" i="75"/>
  <c r="E12" i="75"/>
  <c r="F20" i="75"/>
  <c r="F14" i="75"/>
  <c r="G16" i="75"/>
  <c r="G8" i="75"/>
  <c r="I18" i="75"/>
  <c r="I12" i="75"/>
  <c r="J20" i="75"/>
  <c r="J14" i="75"/>
  <c r="K16" i="75"/>
  <c r="K8" i="75"/>
  <c r="L10" i="75"/>
  <c r="M18" i="75"/>
  <c r="M12" i="75"/>
  <c r="C22" i="75"/>
  <c r="C15" i="75"/>
  <c r="C7" i="75"/>
  <c r="D17" i="75"/>
  <c r="D9" i="75"/>
  <c r="E11" i="75"/>
  <c r="F19" i="75"/>
  <c r="F13" i="75"/>
  <c r="G22" i="75"/>
  <c r="G15" i="75"/>
  <c r="G7" i="75"/>
  <c r="I11" i="75"/>
  <c r="J19" i="75"/>
  <c r="J13" i="75"/>
  <c r="K22" i="75"/>
  <c r="K15" i="75"/>
  <c r="K7" i="75"/>
  <c r="L17" i="75"/>
  <c r="L9" i="75"/>
  <c r="M11" i="75"/>
  <c r="C20" i="75"/>
  <c r="C14" i="75"/>
  <c r="D16" i="75"/>
  <c r="D8" i="75"/>
  <c r="E10" i="75"/>
  <c r="F18" i="75"/>
  <c r="F12" i="75"/>
  <c r="G20" i="75"/>
  <c r="G14" i="75"/>
  <c r="I10" i="75"/>
  <c r="J18" i="75"/>
  <c r="J12" i="75"/>
  <c r="K20" i="75"/>
  <c r="K14" i="75"/>
  <c r="L16" i="75"/>
  <c r="L8" i="75"/>
  <c r="M10" i="75"/>
  <c r="B15" i="75"/>
  <c r="F22" i="75"/>
  <c r="F7" i="75"/>
  <c r="G17" i="75"/>
  <c r="G9" i="75"/>
  <c r="C19" i="75"/>
  <c r="C13" i="75"/>
  <c r="D22" i="75"/>
  <c r="D15" i="75"/>
  <c r="D7" i="75"/>
  <c r="E17" i="75"/>
  <c r="E9" i="75"/>
  <c r="F11" i="75"/>
  <c r="G19" i="75"/>
  <c r="G13" i="75"/>
  <c r="I17" i="75"/>
  <c r="I9" i="75"/>
  <c r="L22" i="75"/>
  <c r="L15" i="75"/>
  <c r="L7" i="75"/>
  <c r="M17" i="75"/>
  <c r="M9" i="75"/>
  <c r="B22" i="75"/>
  <c r="C17" i="75"/>
  <c r="F15" i="75"/>
  <c r="J22" i="75"/>
  <c r="J15" i="75"/>
  <c r="J7" i="75"/>
  <c r="K17" i="75"/>
  <c r="K9" i="75"/>
  <c r="C18" i="75"/>
  <c r="C12" i="75"/>
  <c r="D20" i="75"/>
  <c r="D14" i="75"/>
  <c r="E16" i="75"/>
  <c r="E8" i="75"/>
  <c r="F10" i="75"/>
  <c r="G18" i="75"/>
  <c r="G12" i="75"/>
  <c r="I16" i="75"/>
  <c r="I8" i="75"/>
  <c r="J10" i="75"/>
  <c r="K18" i="75"/>
  <c r="K12" i="75"/>
  <c r="L20" i="75"/>
  <c r="L14" i="75"/>
  <c r="M16" i="75"/>
  <c r="M8" i="75"/>
  <c r="E22" i="75"/>
  <c r="I22" i="75"/>
  <c r="I15" i="75"/>
  <c r="I7" i="75"/>
  <c r="M7" i="75"/>
  <c r="C10" i="75"/>
  <c r="D18" i="75"/>
  <c r="D12" i="75"/>
  <c r="E20" i="75"/>
  <c r="E14" i="75"/>
  <c r="F16" i="75"/>
  <c r="F8" i="75"/>
  <c r="G10" i="75"/>
  <c r="I20" i="75"/>
  <c r="I14" i="75"/>
  <c r="C8" i="90"/>
  <c r="F10" i="88"/>
  <c r="I12" i="88"/>
  <c r="C9" i="88"/>
  <c r="G12" i="88"/>
  <c r="I9" i="88"/>
  <c r="B12" i="88"/>
  <c r="B9" i="88"/>
  <c r="E17" i="88"/>
  <c r="H12" i="88"/>
  <c r="J9" i="88"/>
  <c r="C12" i="88"/>
  <c r="F12" i="88"/>
  <c r="B18" i="88"/>
  <c r="B8" i="88"/>
  <c r="C10" i="88"/>
  <c r="E15" i="88"/>
  <c r="E7" i="88"/>
  <c r="F9" i="88"/>
  <c r="G11" i="88"/>
  <c r="I18" i="88"/>
  <c r="I8" i="88"/>
  <c r="J10" i="88"/>
  <c r="F18" i="88"/>
  <c r="F8" i="88"/>
  <c r="G10" i="88"/>
  <c r="B15" i="88"/>
  <c r="C18" i="88"/>
  <c r="C8" i="88"/>
  <c r="D10" i="88"/>
  <c r="E13" i="88"/>
  <c r="F17" i="88"/>
  <c r="F7" i="88"/>
  <c r="G9" i="88"/>
  <c r="I15" i="88"/>
  <c r="J18" i="88"/>
  <c r="J8" i="88"/>
  <c r="B13" i="88"/>
  <c r="C17" i="88"/>
  <c r="C7" i="88"/>
  <c r="D9" i="88"/>
  <c r="F15" i="88"/>
  <c r="G18" i="88"/>
  <c r="G8" i="88"/>
  <c r="H11" i="88"/>
  <c r="I13" i="88"/>
  <c r="J17" i="88"/>
  <c r="J7" i="88"/>
  <c r="E8" i="88"/>
  <c r="C15" i="88"/>
  <c r="D18" i="88"/>
  <c r="D8" i="88"/>
  <c r="E11" i="88"/>
  <c r="F13" i="88"/>
  <c r="G17" i="88"/>
  <c r="G7" i="88"/>
  <c r="H10" i="88"/>
  <c r="J15" i="88"/>
  <c r="B11" i="88"/>
  <c r="C13" i="88"/>
  <c r="D17" i="88"/>
  <c r="E10" i="88"/>
  <c r="G15" i="88"/>
  <c r="H18" i="88"/>
  <c r="H9" i="88"/>
  <c r="I11" i="88"/>
  <c r="J13" i="88"/>
  <c r="B10" i="88"/>
  <c r="C14" i="88"/>
  <c r="F14" i="88"/>
  <c r="D14" i="88"/>
  <c r="I14" i="88"/>
  <c r="G14" i="88"/>
  <c r="B14" i="88"/>
  <c r="C16" i="88"/>
  <c r="G16" i="88"/>
  <c r="I16" i="88"/>
  <c r="E16" i="88"/>
  <c r="B16" i="88"/>
  <c r="D16" i="88"/>
  <c r="F16" i="88"/>
  <c r="H16" i="88"/>
  <c r="F19" i="88"/>
  <c r="H19" i="88"/>
  <c r="B19" i="88"/>
  <c r="J19" i="88"/>
  <c r="C19" i="88"/>
  <c r="E19" i="88"/>
  <c r="G19" i="88"/>
  <c r="D19" i="88"/>
  <c r="E18" i="90"/>
  <c r="G18" i="90"/>
  <c r="I18" i="90"/>
  <c r="J8" i="90"/>
  <c r="E8" i="90"/>
  <c r="B16" i="90"/>
  <c r="B20" i="90"/>
  <c r="B14" i="90"/>
  <c r="I9" i="90"/>
  <c r="B19" i="90"/>
  <c r="B13" i="90"/>
  <c r="D9" i="90"/>
  <c r="B18" i="90"/>
  <c r="B12" i="90"/>
  <c r="B11" i="90"/>
  <c r="B10" i="90"/>
  <c r="C9" i="90"/>
  <c r="F9" i="90"/>
  <c r="B17" i="90"/>
  <c r="B22" i="90"/>
  <c r="B15" i="90"/>
  <c r="D22" i="90"/>
  <c r="H20" i="90"/>
  <c r="F20" i="90"/>
  <c r="D20" i="90"/>
  <c r="G20" i="90"/>
  <c r="I20" i="90"/>
  <c r="E20" i="90"/>
  <c r="F19" i="90"/>
  <c r="E19" i="90"/>
  <c r="D19" i="90"/>
  <c r="I19" i="90"/>
  <c r="J18" i="90"/>
  <c r="D18" i="90"/>
  <c r="C18" i="90"/>
  <c r="F18" i="90"/>
  <c r="I17" i="90"/>
  <c r="E17" i="90"/>
  <c r="F17" i="90"/>
  <c r="C17" i="90"/>
  <c r="E15" i="90"/>
  <c r="F15" i="90"/>
  <c r="I14" i="90"/>
  <c r="E14" i="90"/>
  <c r="J13" i="90"/>
  <c r="I13" i="90"/>
  <c r="F13" i="90"/>
  <c r="E13" i="90"/>
  <c r="H12" i="90"/>
  <c r="D12" i="90"/>
  <c r="F12" i="90"/>
  <c r="E12" i="90"/>
  <c r="I12" i="90"/>
  <c r="C12" i="90"/>
  <c r="J12" i="90"/>
  <c r="I11" i="90"/>
  <c r="G11" i="90"/>
  <c r="D11" i="90"/>
  <c r="F11" i="90"/>
  <c r="E11" i="90"/>
  <c r="H11" i="90"/>
  <c r="C11" i="90"/>
  <c r="F10" i="90"/>
  <c r="E10" i="90"/>
  <c r="C10" i="90"/>
  <c r="I10" i="90"/>
  <c r="H10" i="90"/>
  <c r="G10" i="90"/>
  <c r="D10" i="90"/>
  <c r="E9" i="90"/>
  <c r="J20" i="90"/>
  <c r="E22" i="90"/>
  <c r="D14" i="90"/>
  <c r="G14" i="90"/>
  <c r="C14" i="90"/>
  <c r="I16" i="90"/>
  <c r="H14" i="90"/>
  <c r="E16" i="90"/>
  <c r="D16" i="90"/>
  <c r="H16" i="90"/>
  <c r="J16" i="90"/>
  <c r="J14" i="90"/>
  <c r="G16" i="90"/>
  <c r="C16" i="90"/>
  <c r="H8" i="90"/>
  <c r="I8" i="90"/>
  <c r="D8" i="90"/>
  <c r="F8" i="90"/>
  <c r="G8" i="90"/>
  <c r="G22" i="90"/>
  <c r="G15" i="90"/>
  <c r="C22" i="90"/>
  <c r="C15" i="90"/>
  <c r="H17" i="90"/>
  <c r="H9" i="90"/>
  <c r="G19" i="90"/>
  <c r="G13" i="90"/>
  <c r="C19" i="90"/>
  <c r="C13" i="90"/>
  <c r="H22" i="90"/>
  <c r="H15" i="90"/>
  <c r="J17" i="90"/>
  <c r="J9" i="90"/>
  <c r="I22" i="90"/>
  <c r="I15" i="90"/>
  <c r="H19" i="90"/>
  <c r="H13" i="90"/>
  <c r="J22" i="90"/>
  <c r="J15" i="90"/>
  <c r="G17" i="90"/>
  <c r="G9" i="90"/>
  <c r="G7" i="90"/>
  <c r="J7" i="90"/>
  <c r="I7" i="90"/>
  <c r="E7" i="90"/>
  <c r="C7" i="90"/>
  <c r="H7" i="90"/>
  <c r="D7" i="90"/>
  <c r="B8" i="74"/>
  <c r="B11" i="74"/>
  <c r="E11" i="74"/>
  <c r="G11" i="74"/>
  <c r="M41" i="74"/>
  <c r="I24" i="74"/>
  <c r="E9" i="74"/>
  <c r="G9" i="74"/>
  <c r="I8" i="74"/>
  <c r="D29" i="74"/>
  <c r="F29" i="74"/>
  <c r="H25" i="74"/>
  <c r="J40" i="74"/>
  <c r="D25" i="74"/>
  <c r="F25" i="74"/>
  <c r="C35" i="74"/>
  <c r="J11" i="74"/>
  <c r="B7" i="74"/>
  <c r="D7" i="74"/>
  <c r="F7" i="74"/>
  <c r="C33" i="74"/>
  <c r="J8" i="74"/>
  <c r="B41" i="74"/>
  <c r="E41" i="74"/>
  <c r="G41" i="74"/>
  <c r="C19" i="74"/>
  <c r="K17" i="74"/>
  <c r="B27" i="74"/>
  <c r="E27" i="74"/>
  <c r="G27" i="74"/>
  <c r="C17" i="74"/>
  <c r="K11" i="74"/>
  <c r="B25" i="74"/>
  <c r="E25" i="74"/>
  <c r="G25" i="74"/>
  <c r="I40" i="74"/>
  <c r="B40" i="74"/>
  <c r="B24" i="74"/>
  <c r="D23" i="74"/>
  <c r="E40" i="74"/>
  <c r="E24" i="74"/>
  <c r="E8" i="74"/>
  <c r="F23" i="74"/>
  <c r="G40" i="74"/>
  <c r="G24" i="74"/>
  <c r="G8" i="74"/>
  <c r="H17" i="74"/>
  <c r="C32" i="74"/>
  <c r="C16" i="74"/>
  <c r="I35" i="74"/>
  <c r="I19" i="74"/>
  <c r="J35" i="74"/>
  <c r="K41" i="74"/>
  <c r="K9" i="74"/>
  <c r="M33" i="74"/>
  <c r="I37" i="74"/>
  <c r="I21" i="74"/>
  <c r="M37" i="74"/>
  <c r="B37" i="74"/>
  <c r="B21" i="74"/>
  <c r="D41" i="74"/>
  <c r="D21" i="74"/>
  <c r="E37" i="74"/>
  <c r="E21" i="74"/>
  <c r="F41" i="74"/>
  <c r="F21" i="74"/>
  <c r="G37" i="74"/>
  <c r="G21" i="74"/>
  <c r="H41" i="74"/>
  <c r="H13" i="74"/>
  <c r="C29" i="74"/>
  <c r="C13" i="74"/>
  <c r="I33" i="74"/>
  <c r="I17" i="74"/>
  <c r="J32" i="74"/>
  <c r="K35" i="74"/>
  <c r="L41" i="74"/>
  <c r="M29" i="74"/>
  <c r="B35" i="74"/>
  <c r="B19" i="74"/>
  <c r="D39" i="74"/>
  <c r="D17" i="74"/>
  <c r="E35" i="74"/>
  <c r="E19" i="74"/>
  <c r="F39" i="74"/>
  <c r="F17" i="74"/>
  <c r="G35" i="74"/>
  <c r="G19" i="74"/>
  <c r="H39" i="74"/>
  <c r="H9" i="74"/>
  <c r="C27" i="74"/>
  <c r="C11" i="74"/>
  <c r="I32" i="74"/>
  <c r="I16" i="74"/>
  <c r="J27" i="74"/>
  <c r="K33" i="74"/>
  <c r="L33" i="74"/>
  <c r="M25" i="74"/>
  <c r="H21" i="74"/>
  <c r="B33" i="74"/>
  <c r="B17" i="74"/>
  <c r="D37" i="74"/>
  <c r="D15" i="74"/>
  <c r="E33" i="74"/>
  <c r="E17" i="74"/>
  <c r="F37" i="74"/>
  <c r="F15" i="74"/>
  <c r="G33" i="74"/>
  <c r="G17" i="74"/>
  <c r="H37" i="74"/>
  <c r="C41" i="74"/>
  <c r="C25" i="74"/>
  <c r="C9" i="74"/>
  <c r="I29" i="74"/>
  <c r="I13" i="74"/>
  <c r="J24" i="74"/>
  <c r="K27" i="74"/>
  <c r="L25" i="74"/>
  <c r="M21" i="74"/>
  <c r="B32" i="74"/>
  <c r="B16" i="74"/>
  <c r="D33" i="74"/>
  <c r="D13" i="74"/>
  <c r="E32" i="74"/>
  <c r="F33" i="74"/>
  <c r="F13" i="74"/>
  <c r="G32" i="74"/>
  <c r="G16" i="74"/>
  <c r="H33" i="74"/>
  <c r="C40" i="74"/>
  <c r="C24" i="74"/>
  <c r="C8" i="74"/>
  <c r="I27" i="74"/>
  <c r="I11" i="74"/>
  <c r="J19" i="74"/>
  <c r="K25" i="74"/>
  <c r="L17" i="74"/>
  <c r="M17" i="74"/>
  <c r="B29" i="74"/>
  <c r="B13" i="74"/>
  <c r="D31" i="74"/>
  <c r="D9" i="74"/>
  <c r="E29" i="74"/>
  <c r="E13" i="74"/>
  <c r="F31" i="74"/>
  <c r="F9" i="74"/>
  <c r="G29" i="74"/>
  <c r="G13" i="74"/>
  <c r="H29" i="74"/>
  <c r="C37" i="74"/>
  <c r="C21" i="74"/>
  <c r="I41" i="74"/>
  <c r="I25" i="74"/>
  <c r="I9" i="74"/>
  <c r="J16" i="74"/>
  <c r="K19" i="74"/>
  <c r="L9" i="74"/>
  <c r="M13" i="74"/>
  <c r="H31" i="74"/>
  <c r="H23" i="74"/>
  <c r="H15" i="74"/>
  <c r="H7" i="74"/>
  <c r="I7" i="74"/>
  <c r="J38" i="74"/>
  <c r="J30" i="74"/>
  <c r="J22" i="74"/>
  <c r="J14" i="74"/>
  <c r="L36" i="74"/>
  <c r="L28" i="74"/>
  <c r="L20" i="74"/>
  <c r="L12" i="74"/>
  <c r="M39" i="74"/>
  <c r="M31" i="74"/>
  <c r="M23" i="74"/>
  <c r="M15" i="74"/>
  <c r="B42" i="74"/>
  <c r="B34" i="74"/>
  <c r="B26" i="74"/>
  <c r="B18" i="74"/>
  <c r="B10" i="74"/>
  <c r="D38" i="74"/>
  <c r="D30" i="74"/>
  <c r="D22" i="74"/>
  <c r="D14" i="74"/>
  <c r="E42" i="74"/>
  <c r="E34" i="74"/>
  <c r="E26" i="74"/>
  <c r="E18" i="74"/>
  <c r="E10" i="74"/>
  <c r="F38" i="74"/>
  <c r="F30" i="74"/>
  <c r="F22" i="74"/>
  <c r="F14" i="74"/>
  <c r="G42" i="74"/>
  <c r="G34" i="74"/>
  <c r="G26" i="74"/>
  <c r="G18" i="74"/>
  <c r="G10" i="74"/>
  <c r="H38" i="74"/>
  <c r="H30" i="74"/>
  <c r="H22" i="74"/>
  <c r="H14" i="74"/>
  <c r="C42" i="74"/>
  <c r="C34" i="74"/>
  <c r="C26" i="74"/>
  <c r="C18" i="74"/>
  <c r="C10" i="74"/>
  <c r="I42" i="74"/>
  <c r="I34" i="74"/>
  <c r="I26" i="74"/>
  <c r="I18" i="74"/>
  <c r="I10" i="74"/>
  <c r="J37" i="74"/>
  <c r="J29" i="74"/>
  <c r="J21" i="74"/>
  <c r="J13" i="74"/>
  <c r="K40" i="74"/>
  <c r="K32" i="74"/>
  <c r="K24" i="74"/>
  <c r="K16" i="74"/>
  <c r="K8" i="74"/>
  <c r="L35" i="74"/>
  <c r="L27" i="74"/>
  <c r="L19" i="74"/>
  <c r="L11" i="74"/>
  <c r="M38" i="74"/>
  <c r="M30" i="74"/>
  <c r="M22" i="74"/>
  <c r="M14" i="74"/>
  <c r="J36" i="74"/>
  <c r="J28" i="74"/>
  <c r="J20" i="74"/>
  <c r="J12" i="74"/>
  <c r="K39" i="74"/>
  <c r="K31" i="74"/>
  <c r="K23" i="74"/>
  <c r="K15" i="74"/>
  <c r="L42" i="74"/>
  <c r="L34" i="74"/>
  <c r="L26" i="74"/>
  <c r="L18" i="74"/>
  <c r="L10" i="74"/>
  <c r="F36" i="74"/>
  <c r="F28" i="74"/>
  <c r="F20" i="74"/>
  <c r="F12" i="74"/>
  <c r="H36" i="74"/>
  <c r="H28" i="74"/>
  <c r="H20" i="74"/>
  <c r="H12" i="74"/>
  <c r="M36" i="74"/>
  <c r="M28" i="74"/>
  <c r="M20" i="74"/>
  <c r="B39" i="74"/>
  <c r="B31" i="74"/>
  <c r="B23" i="74"/>
  <c r="B15" i="74"/>
  <c r="C7" i="74"/>
  <c r="D35" i="74"/>
  <c r="D27" i="74"/>
  <c r="D19" i="74"/>
  <c r="D11" i="74"/>
  <c r="E39" i="74"/>
  <c r="E31" i="74"/>
  <c r="E23" i="74"/>
  <c r="E15" i="74"/>
  <c r="E7" i="74"/>
  <c r="F35" i="74"/>
  <c r="F27" i="74"/>
  <c r="F19" i="74"/>
  <c r="F11" i="74"/>
  <c r="G39" i="74"/>
  <c r="G31" i="74"/>
  <c r="G23" i="74"/>
  <c r="G15" i="74"/>
  <c r="G7" i="74"/>
  <c r="H35" i="74"/>
  <c r="H27" i="74"/>
  <c r="H19" i="74"/>
  <c r="H11" i="74"/>
  <c r="C39" i="74"/>
  <c r="C31" i="74"/>
  <c r="C23" i="74"/>
  <c r="C15" i="74"/>
  <c r="M7" i="74"/>
  <c r="I39" i="74"/>
  <c r="I31" i="74"/>
  <c r="I23" i="74"/>
  <c r="I15" i="74"/>
  <c r="J42" i="74"/>
  <c r="J34" i="74"/>
  <c r="J26" i="74"/>
  <c r="J18" i="74"/>
  <c r="J10" i="74"/>
  <c r="K37" i="74"/>
  <c r="K29" i="74"/>
  <c r="K21" i="74"/>
  <c r="K13" i="74"/>
  <c r="L40" i="74"/>
  <c r="L32" i="74"/>
  <c r="L24" i="74"/>
  <c r="L16" i="74"/>
  <c r="L8" i="74"/>
  <c r="D36" i="74"/>
  <c r="D28" i="74"/>
  <c r="D20" i="74"/>
  <c r="D12" i="74"/>
  <c r="K38" i="74"/>
  <c r="K30" i="74"/>
  <c r="K22" i="74"/>
  <c r="K14" i="74"/>
  <c r="M12" i="74"/>
  <c r="B38" i="74"/>
  <c r="B30" i="74"/>
  <c r="B22" i="74"/>
  <c r="B14" i="74"/>
  <c r="D42" i="74"/>
  <c r="D34" i="74"/>
  <c r="D26" i="74"/>
  <c r="D18" i="74"/>
  <c r="D10" i="74"/>
  <c r="E38" i="74"/>
  <c r="E30" i="74"/>
  <c r="E22" i="74"/>
  <c r="E14" i="74"/>
  <c r="F42" i="74"/>
  <c r="F34" i="74"/>
  <c r="F26" i="74"/>
  <c r="F18" i="74"/>
  <c r="F10" i="74"/>
  <c r="G38" i="74"/>
  <c r="G30" i="74"/>
  <c r="G22" i="74"/>
  <c r="G14" i="74"/>
  <c r="H42" i="74"/>
  <c r="H34" i="74"/>
  <c r="H26" i="74"/>
  <c r="H18" i="74"/>
  <c r="H10" i="74"/>
  <c r="C38" i="74"/>
  <c r="C30" i="74"/>
  <c r="C22" i="74"/>
  <c r="C14" i="74"/>
  <c r="L7" i="74"/>
  <c r="I38" i="74"/>
  <c r="I30" i="74"/>
  <c r="I22" i="74"/>
  <c r="I14" i="74"/>
  <c r="J9" i="74"/>
  <c r="K36" i="74"/>
  <c r="K28" i="74"/>
  <c r="K20" i="74"/>
  <c r="K12" i="74"/>
  <c r="L39" i="74"/>
  <c r="L31" i="74"/>
  <c r="L23" i="74"/>
  <c r="L15" i="74"/>
  <c r="M42" i="74"/>
  <c r="M34" i="74"/>
  <c r="M26" i="74"/>
  <c r="M18" i="74"/>
  <c r="M10" i="74"/>
  <c r="K7" i="74"/>
  <c r="B36" i="74"/>
  <c r="B28" i="74"/>
  <c r="B20" i="74"/>
  <c r="B12" i="74"/>
  <c r="D40" i="74"/>
  <c r="D32" i="74"/>
  <c r="D24" i="74"/>
  <c r="D16" i="74"/>
  <c r="D8" i="74"/>
  <c r="E36" i="74"/>
  <c r="E28" i="74"/>
  <c r="E20" i="74"/>
  <c r="E12" i="74"/>
  <c r="F40" i="74"/>
  <c r="F32" i="74"/>
  <c r="F24" i="74"/>
  <c r="F16" i="74"/>
  <c r="F8" i="74"/>
  <c r="G36" i="74"/>
  <c r="G28" i="74"/>
  <c r="G20" i="74"/>
  <c r="G12" i="74"/>
  <c r="H40" i="74"/>
  <c r="H32" i="74"/>
  <c r="H24" i="74"/>
  <c r="H16" i="74"/>
  <c r="H8" i="74"/>
  <c r="C36" i="74"/>
  <c r="C28" i="74"/>
  <c r="C20" i="74"/>
  <c r="C12" i="74"/>
  <c r="A41" i="89" l="1"/>
  <c r="A40" i="89"/>
  <c r="A42" i="89"/>
  <c r="A39" i="89"/>
  <c r="A38" i="89"/>
  <c r="A37" i="89"/>
  <c r="A36" i="89"/>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C17" i="89" l="1"/>
  <c r="D17" i="89"/>
  <c r="E17" i="89"/>
  <c r="F17" i="89"/>
  <c r="G17" i="89"/>
  <c r="H17" i="89"/>
  <c r="B17" i="89"/>
  <c r="I17" i="89"/>
  <c r="J17" i="89"/>
  <c r="D40" i="89"/>
  <c r="E40" i="89"/>
  <c r="F40" i="89"/>
  <c r="G40" i="89"/>
  <c r="H40" i="89"/>
  <c r="I40" i="89"/>
  <c r="C40" i="89"/>
  <c r="J40" i="89"/>
  <c r="B40" i="89"/>
  <c r="B26" i="89"/>
  <c r="J26" i="89"/>
  <c r="C26" i="89"/>
  <c r="D26" i="89"/>
  <c r="E26" i="89"/>
  <c r="F26" i="89"/>
  <c r="G26" i="89"/>
  <c r="H26" i="89"/>
  <c r="I26" i="89"/>
  <c r="C41" i="89"/>
  <c r="D41" i="89"/>
  <c r="E41" i="89"/>
  <c r="F41" i="89"/>
  <c r="G41" i="89"/>
  <c r="H41" i="89"/>
  <c r="I41" i="89"/>
  <c r="B41" i="89"/>
  <c r="J41" i="89"/>
  <c r="I11" i="89"/>
  <c r="B11" i="89"/>
  <c r="J11" i="89"/>
  <c r="C11" i="89"/>
  <c r="D11" i="89"/>
  <c r="E11" i="89"/>
  <c r="F11" i="89"/>
  <c r="G11" i="89"/>
  <c r="H11" i="89"/>
  <c r="I19" i="89"/>
  <c r="B19" i="89"/>
  <c r="J19" i="89"/>
  <c r="C19" i="89"/>
  <c r="D19" i="89"/>
  <c r="E19" i="89"/>
  <c r="F19" i="89"/>
  <c r="G19" i="89"/>
  <c r="H19" i="89"/>
  <c r="I27" i="89"/>
  <c r="B27" i="89"/>
  <c r="J27" i="89"/>
  <c r="C27" i="89"/>
  <c r="D27" i="89"/>
  <c r="E27" i="89"/>
  <c r="F27" i="89"/>
  <c r="G27" i="89"/>
  <c r="H27" i="89"/>
  <c r="I35" i="89"/>
  <c r="B35" i="89"/>
  <c r="J35" i="89"/>
  <c r="C35" i="89"/>
  <c r="D35" i="89"/>
  <c r="E35" i="89"/>
  <c r="F35" i="89"/>
  <c r="G35" i="89"/>
  <c r="H35" i="89"/>
  <c r="H12" i="89"/>
  <c r="I12" i="89"/>
  <c r="B12" i="89"/>
  <c r="J12" i="89"/>
  <c r="C12" i="89"/>
  <c r="F12" i="89"/>
  <c r="D12" i="89"/>
  <c r="E12" i="89"/>
  <c r="G12" i="89"/>
  <c r="H20" i="89"/>
  <c r="I20" i="89"/>
  <c r="B20" i="89"/>
  <c r="J20" i="89"/>
  <c r="C20" i="89"/>
  <c r="D20" i="89"/>
  <c r="E20" i="89"/>
  <c r="F20" i="89"/>
  <c r="G20" i="89"/>
  <c r="H28" i="89"/>
  <c r="I28" i="89"/>
  <c r="B28" i="89"/>
  <c r="J28" i="89"/>
  <c r="C28" i="89"/>
  <c r="D28" i="89"/>
  <c r="E28" i="89"/>
  <c r="F28" i="89"/>
  <c r="G28" i="89"/>
  <c r="H36" i="89"/>
  <c r="I36" i="89"/>
  <c r="B36" i="89"/>
  <c r="J36" i="89"/>
  <c r="C36" i="89"/>
  <c r="D36" i="89"/>
  <c r="E36" i="89"/>
  <c r="G36" i="89"/>
  <c r="F36" i="89"/>
  <c r="C33" i="89"/>
  <c r="D33" i="89"/>
  <c r="E33" i="89"/>
  <c r="F33" i="89"/>
  <c r="G33" i="89"/>
  <c r="H33" i="89"/>
  <c r="B33" i="89"/>
  <c r="I33" i="89"/>
  <c r="J33" i="89"/>
  <c r="B18" i="89"/>
  <c r="J18" i="89"/>
  <c r="C18" i="89"/>
  <c r="D18" i="89"/>
  <c r="E18" i="89"/>
  <c r="F18" i="89"/>
  <c r="G18" i="89"/>
  <c r="I18" i="89"/>
  <c r="H18" i="89"/>
  <c r="B34" i="89"/>
  <c r="J34" i="89"/>
  <c r="C34" i="89"/>
  <c r="D34" i="89"/>
  <c r="E34" i="89"/>
  <c r="F34" i="89"/>
  <c r="G34" i="89"/>
  <c r="H34" i="89"/>
  <c r="I34" i="89"/>
  <c r="G13" i="89"/>
  <c r="H13" i="89"/>
  <c r="I13" i="89"/>
  <c r="B13" i="89"/>
  <c r="J13" i="89"/>
  <c r="C13" i="89"/>
  <c r="D13" i="89"/>
  <c r="E13" i="89"/>
  <c r="F13" i="89"/>
  <c r="G21" i="89"/>
  <c r="H21" i="89"/>
  <c r="I21" i="89"/>
  <c r="B21" i="89"/>
  <c r="J21" i="89"/>
  <c r="C21" i="89"/>
  <c r="D21" i="89"/>
  <c r="E21" i="89"/>
  <c r="F21" i="89"/>
  <c r="G29" i="89"/>
  <c r="H29" i="89"/>
  <c r="I29" i="89"/>
  <c r="B29" i="89"/>
  <c r="J29" i="89"/>
  <c r="C29" i="89"/>
  <c r="D29" i="89"/>
  <c r="F29" i="89"/>
  <c r="E29" i="89"/>
  <c r="G37" i="89"/>
  <c r="H37" i="89"/>
  <c r="I37" i="89"/>
  <c r="B37" i="89"/>
  <c r="J37" i="89"/>
  <c r="C37" i="89"/>
  <c r="D37" i="89"/>
  <c r="E37" i="89"/>
  <c r="F37" i="89"/>
  <c r="F14" i="89"/>
  <c r="G14" i="89"/>
  <c r="H14" i="89"/>
  <c r="I14" i="89"/>
  <c r="D14" i="89"/>
  <c r="B14" i="89"/>
  <c r="J14" i="89"/>
  <c r="C14" i="89"/>
  <c r="E14" i="89"/>
  <c r="F22" i="89"/>
  <c r="G22" i="89"/>
  <c r="H22" i="89"/>
  <c r="I22" i="89"/>
  <c r="B22" i="89"/>
  <c r="J22" i="89"/>
  <c r="C22" i="89"/>
  <c r="E22" i="89"/>
  <c r="D22" i="89"/>
  <c r="F30" i="89"/>
  <c r="G30" i="89"/>
  <c r="H30" i="89"/>
  <c r="I30" i="89"/>
  <c r="B30" i="89"/>
  <c r="J30" i="89"/>
  <c r="C30" i="89"/>
  <c r="D30" i="89"/>
  <c r="E30" i="89"/>
  <c r="F38" i="89"/>
  <c r="G38" i="89"/>
  <c r="H38" i="89"/>
  <c r="I38" i="89"/>
  <c r="B38" i="89"/>
  <c r="J38" i="89"/>
  <c r="C38" i="89"/>
  <c r="D38" i="89"/>
  <c r="E38" i="89"/>
  <c r="C9" i="89"/>
  <c r="D9" i="89"/>
  <c r="E9" i="89"/>
  <c r="F9" i="89"/>
  <c r="G9" i="89"/>
  <c r="H9" i="89"/>
  <c r="I9" i="89"/>
  <c r="J9" i="89"/>
  <c r="B9" i="89"/>
  <c r="C25" i="89"/>
  <c r="D25" i="89"/>
  <c r="E25" i="89"/>
  <c r="F25" i="89"/>
  <c r="G25" i="89"/>
  <c r="H25" i="89"/>
  <c r="J25" i="89"/>
  <c r="B25" i="89"/>
  <c r="I25" i="89"/>
  <c r="B10" i="89"/>
  <c r="J10" i="89"/>
  <c r="C10" i="89"/>
  <c r="D10" i="89"/>
  <c r="E10" i="89"/>
  <c r="F10" i="89"/>
  <c r="G10" i="89"/>
  <c r="H10" i="89"/>
  <c r="I10" i="89"/>
  <c r="C7" i="89"/>
  <c r="I7" i="89"/>
  <c r="H7" i="89"/>
  <c r="G7" i="89"/>
  <c r="F7" i="89"/>
  <c r="J7" i="89"/>
  <c r="E7" i="89"/>
  <c r="D7" i="89"/>
  <c r="B7" i="89"/>
  <c r="E15" i="89"/>
  <c r="F15" i="89"/>
  <c r="G15" i="89"/>
  <c r="H15" i="89"/>
  <c r="I15" i="89"/>
  <c r="B15" i="89"/>
  <c r="J15" i="89"/>
  <c r="D15" i="89"/>
  <c r="C15" i="89"/>
  <c r="E23" i="89"/>
  <c r="F23" i="89"/>
  <c r="G23" i="89"/>
  <c r="H23" i="89"/>
  <c r="I23" i="89"/>
  <c r="B23" i="89"/>
  <c r="J23" i="89"/>
  <c r="C23" i="89"/>
  <c r="D23" i="89"/>
  <c r="E31" i="89"/>
  <c r="F31" i="89"/>
  <c r="G31" i="89"/>
  <c r="H31" i="89"/>
  <c r="I31" i="89"/>
  <c r="B31" i="89"/>
  <c r="J31" i="89"/>
  <c r="C31" i="89"/>
  <c r="D31" i="89"/>
  <c r="E39" i="89"/>
  <c r="F39" i="89"/>
  <c r="G39" i="89"/>
  <c r="H39" i="89"/>
  <c r="I39" i="89"/>
  <c r="B39" i="89"/>
  <c r="J39" i="89"/>
  <c r="D39" i="89"/>
  <c r="C39" i="89"/>
  <c r="D8" i="89"/>
  <c r="E8" i="89"/>
  <c r="F8" i="89"/>
  <c r="G8" i="89"/>
  <c r="H8" i="89"/>
  <c r="I8" i="89"/>
  <c r="B8" i="89"/>
  <c r="J8" i="89"/>
  <c r="C8" i="89"/>
  <c r="D16" i="89"/>
  <c r="E16" i="89"/>
  <c r="F16" i="89"/>
  <c r="G16" i="89"/>
  <c r="H16" i="89"/>
  <c r="I16" i="89"/>
  <c r="B16" i="89"/>
  <c r="C16" i="89"/>
  <c r="J16" i="89"/>
  <c r="D24" i="89"/>
  <c r="E24" i="89"/>
  <c r="F24" i="89"/>
  <c r="G24" i="89"/>
  <c r="H24" i="89"/>
  <c r="I24" i="89"/>
  <c r="B24" i="89"/>
  <c r="J24" i="89"/>
  <c r="C24" i="89"/>
  <c r="D32" i="89"/>
  <c r="E32" i="89"/>
  <c r="F32" i="89"/>
  <c r="G32" i="89"/>
  <c r="H32" i="89"/>
  <c r="I32" i="89"/>
  <c r="B32" i="89"/>
  <c r="C32" i="89"/>
  <c r="J32" i="89"/>
  <c r="B42" i="89"/>
  <c r="J42" i="89"/>
  <c r="D42" i="89"/>
  <c r="E42" i="89"/>
  <c r="F42" i="89"/>
  <c r="G42" i="89"/>
  <c r="C42" i="89"/>
  <c r="H42" i="89"/>
  <c r="I42" i="89"/>
</calcChain>
</file>

<file path=xl/connections.xml><?xml version="1.0" encoding="utf-8"?>
<connections xmlns="http://schemas.openxmlformats.org/spreadsheetml/2006/main">
  <connection id="1" keepAlive="1" name="Query - Table245 (3)" description="Connection to the 'Table245 (3)' query in the workbook." type="5" refreshedVersion="6" background="1" saveData="1">
    <dbPr connection="Provider=Microsoft.Mashup.OleDb.1;Data Source=$Workbook$;Location=&quot;Table245 (3)&quot;;Extended Properties=&quot;&quot;" command="SELECT * FROM [Table245 (3)]"/>
  </connection>
  <connection id="2"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s>
</file>

<file path=xl/sharedStrings.xml><?xml version="1.0" encoding="utf-8"?>
<sst xmlns="http://schemas.openxmlformats.org/spreadsheetml/2006/main" count="1716" uniqueCount="775">
  <si>
    <t>Contents</t>
  </si>
  <si>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</si>
  <si>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</si>
  <si>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</si>
  <si>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</si>
  <si>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</si>
  <si>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</si>
  <si>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</si>
  <si>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</si>
  <si>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</si>
  <si>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See the data quality section of the publication for further information about how postcodes are matched to health boards and country.</t>
  </si>
  <si>
    <t>Table 9</t>
  </si>
  <si>
    <t>Table 8</t>
  </si>
  <si>
    <t>Table 10</t>
  </si>
  <si>
    <t>Month</t>
  </si>
  <si>
    <t>Chart 1</t>
  </si>
  <si>
    <t>Chart 2</t>
  </si>
  <si>
    <t>Chart 3</t>
  </si>
  <si>
    <t>Table 11</t>
  </si>
  <si>
    <t>Table 7</t>
  </si>
  <si>
    <t>Chart 1: Applications for Best Start Grant and Best Start Food by month</t>
  </si>
  <si>
    <t>Applications for Best Start Grant Pregnancy and Baby Payment by first and subsequent births</t>
  </si>
  <si>
    <t>Table 1: Applications for Best Start Grant and Best Start Foods by month</t>
  </si>
  <si>
    <t>% of total applications processed</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</si>
  <si>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</si>
  <si>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</si>
  <si>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</si>
  <si>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</si>
  <si>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</si>
  <si>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</si>
  <si>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</si>
  <si>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</si>
  <si>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</si>
  <si>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</si>
  <si>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Table 4: Applications for Best Start Grant and Best Start Foods by age group</t>
  </si>
  <si>
    <t>Table 5: Applications for Best Start Grant and Best Start Foods by local authority</t>
  </si>
  <si>
    <t>Chart 3: Payments by Best Start Grant and Best Start Foods payment type and month</t>
  </si>
  <si>
    <t xml:space="preserve">Pregnancy and Baby Payment = Application form included baby details </t>
  </si>
  <si>
    <t>Early Learning Payment  / School Age Payment  = Application form did not include baby details but did include details of other dependent children who are of eligible age for one of these payments.</t>
  </si>
  <si>
    <t>Chart 2: Applications by Best Start Grant and Best Start Foods payment type</t>
  </si>
  <si>
    <t>Table 7: Applications for Best Start Grant and Best Start Foods by health board</t>
  </si>
  <si>
    <t>Table 10: Processing times for Best Start Grant and Best Start Food by decision month</t>
  </si>
  <si>
    <t>Table 12: Payments by Best Start Grant and Best Start Foods payment type and month</t>
  </si>
  <si>
    <t>Table 12</t>
  </si>
  <si>
    <t>Table 14</t>
  </si>
  <si>
    <t>Best Start Foods reviews management information</t>
  </si>
  <si>
    <t>Applications received and benefit components applied for, by local authority</t>
  </si>
  <si>
    <t>Applications received and benefit components applied for, by health board</t>
  </si>
  <si>
    <t>Table 6: Applications received and benefit components applied for, by local authority</t>
  </si>
  <si>
    <t>Table 8: Applications received and benefit components applied for, by health board</t>
  </si>
  <si>
    <t xml:space="preserve">Best Start Foods = Application form included details of expected children or of dependent children of eligible age for Best Start Foods </t>
  </si>
  <si>
    <t>% of processed applications authorised</t>
  </si>
  <si>
    <t>% of processed applications denied</t>
  </si>
  <si>
    <t xml:space="preserve">% of processed applications withdrawn </t>
  </si>
  <si>
    <t>Authorised applications [note 3]</t>
  </si>
  <si>
    <t xml:space="preserve">% of total applications received </t>
  </si>
  <si>
    <t>Financial Year selection:</t>
  </si>
  <si>
    <t xml:space="preserve">Total applications received 
</t>
  </si>
  <si>
    <t>Authorised applications [note 7]</t>
  </si>
  <si>
    <t>Denied Applications [note 8]</t>
  </si>
  <si>
    <t>Withdrawn applications [note 9]</t>
  </si>
  <si>
    <t xml:space="preserve">Table 2: Applications by Best Start Grant and Best Start Foods payment type </t>
  </si>
  <si>
    <t xml:space="preserve">Online Applications </t>
  </si>
  <si>
    <t>Applicant Age Group</t>
  </si>
  <si>
    <t xml:space="preserve">Total applications received [note 3]
</t>
  </si>
  <si>
    <t xml:space="preserve">Total applications processed </t>
  </si>
  <si>
    <t>Authorised applications [note 4]</t>
  </si>
  <si>
    <t>Denied Applications [note 5]</t>
  </si>
  <si>
    <t>Withdrawn applications [note 6]</t>
  </si>
  <si>
    <t xml:space="preserve">[note 2] Age is unknown where date of birth is missing or incorrect (e.g. child date of birth has been input instead of applicant date of birth). </t>
  </si>
  <si>
    <t>[note 3] From 12 August 2019 applications received are counted for both Best Start Grant and Best Start Foods. Until 12 August 2019 the numbers only include Best Start Grant.</t>
  </si>
  <si>
    <t>[note 4] Application was authorised for either Best Start Foods or at least one Best Start Grant payment.</t>
  </si>
  <si>
    <t>[note 5] Application was denied for both Best Start Foods and all Best Start Grant payments.</t>
  </si>
  <si>
    <t>[note 6] Applications were either withdrawn for both payments from 12 August 2019, or Best Start Grant application was withdrawn before the launch of Best Start Foods.</t>
  </si>
  <si>
    <t>Local Authority</t>
  </si>
  <si>
    <t>Total applications received 
[note 4]</t>
  </si>
  <si>
    <t>Authorised applications [note 5]</t>
  </si>
  <si>
    <t>Denied Applications [note 6]</t>
  </si>
  <si>
    <t>Withdrawn applications [note 7]</t>
  </si>
  <si>
    <t>[c] Figures suppressed for disclosure control</t>
  </si>
  <si>
    <t>[note 2]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</si>
  <si>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3] Some applications did not have a postcode and therefore cannot be matched to local authority or country.</t>
  </si>
  <si>
    <t>Applications for Best Start Grant - Pregnancy and Baby Payment [note 6]</t>
  </si>
  <si>
    <t>Applications for Best Start Grant - Early Learning Payment [note 7]</t>
  </si>
  <si>
    <t>Applications for Best Start grant - School Age Payment [note 7]</t>
  </si>
  <si>
    <t>Applications for Best Start Foods 
[note 8]</t>
  </si>
  <si>
    <t>Applications for Unknown application [note 9]</t>
  </si>
  <si>
    <t>Total applications processed</t>
  </si>
  <si>
    <t>Total applications received 
[note 2]</t>
  </si>
  <si>
    <t>Denied Applications [note 3]</t>
  </si>
  <si>
    <t>Withdrawn applications</t>
  </si>
  <si>
    <t>Local Authority by Financial Year</t>
  </si>
  <si>
    <t>Aberdeen City 2018_2019</t>
  </si>
  <si>
    <t>Aberdeen City 2019_2020</t>
  </si>
  <si>
    <t>Aberdeen City 2020_2021</t>
  </si>
  <si>
    <t>Aberdeen City 2021_2022</t>
  </si>
  <si>
    <t>Aberdeenshire 2018_2019</t>
  </si>
  <si>
    <t>Aberdeenshire 2019_2020</t>
  </si>
  <si>
    <t>Aberdeenshire 2020_2021</t>
  </si>
  <si>
    <t>Aberdeenshire 2021_2022</t>
  </si>
  <si>
    <t>Angus 2018_2019</t>
  </si>
  <si>
    <t>Angus 2019_2020</t>
  </si>
  <si>
    <t>Angus 2020_2021</t>
  </si>
  <si>
    <t>Angus 2021_2022</t>
  </si>
  <si>
    <t>Argyll &amp; Bute 2018_2019</t>
  </si>
  <si>
    <t>Argyll &amp; Bute 2019_2020</t>
  </si>
  <si>
    <t>Argyll &amp; Bute 2020_2021</t>
  </si>
  <si>
    <t>Argyll &amp; Bute 2021_2022</t>
  </si>
  <si>
    <t>Clackmannanshire 2018_2019</t>
  </si>
  <si>
    <t>Clackmannanshire 2019_2020</t>
  </si>
  <si>
    <t>Clackmannanshire 2020_2021</t>
  </si>
  <si>
    <t>Clackmannanshire 2021_2022</t>
  </si>
  <si>
    <t>Dumfries &amp; Galloway 2018_2019</t>
  </si>
  <si>
    <t>Dumfries &amp; Galloway 2019_2020</t>
  </si>
  <si>
    <t>Dumfries &amp; Galloway 2020_2021</t>
  </si>
  <si>
    <t>Dumfries &amp; Galloway 2021_2022</t>
  </si>
  <si>
    <t>Dundee City 2018_2019</t>
  </si>
  <si>
    <t>Dundee City 2019_2020</t>
  </si>
  <si>
    <t>Dundee City 2020_2021</t>
  </si>
  <si>
    <t>Dundee City 2021_2022</t>
  </si>
  <si>
    <t>East Ayrshire 2018_2019</t>
  </si>
  <si>
    <t>East Ayrshire 2019_2020</t>
  </si>
  <si>
    <t>East Ayrshire 2020_2021</t>
  </si>
  <si>
    <t>East Ayrshire 2021_2022</t>
  </si>
  <si>
    <t>East Dunbartonshire 2018_2019</t>
  </si>
  <si>
    <t>East Dunbartonshire 2019_2020</t>
  </si>
  <si>
    <t>East Dunbartonshire 2020_2021</t>
  </si>
  <si>
    <t>East Dunbartonshire 2021_2022</t>
  </si>
  <si>
    <t>East Lothian 2018_2019</t>
  </si>
  <si>
    <t>East Lothian 2019_2020</t>
  </si>
  <si>
    <t>East Lothian 2020_2021</t>
  </si>
  <si>
    <t>East Lothian 2021_2022</t>
  </si>
  <si>
    <t>East Renfrewshire 2018_2019</t>
  </si>
  <si>
    <t>East Renfrewshire 2019_2020</t>
  </si>
  <si>
    <t>East Renfrewshire 2020_2021</t>
  </si>
  <si>
    <t>East Renfrewshire 2021_2022</t>
  </si>
  <si>
    <t>Edinburgh, City of 2018_2019</t>
  </si>
  <si>
    <t>Edinburgh, City of 2019_2020</t>
  </si>
  <si>
    <t>Edinburgh, City of 2020_2021</t>
  </si>
  <si>
    <t>Edinburgh, City of 2021_2022</t>
  </si>
  <si>
    <t>Falkirk 2018_2019</t>
  </si>
  <si>
    <t>Falkirk 2019_2020</t>
  </si>
  <si>
    <t>Falkirk 2020_2021</t>
  </si>
  <si>
    <t>Falkirk 2021_2022</t>
  </si>
  <si>
    <t>Fife 2018_2019</t>
  </si>
  <si>
    <t>Fife 2019_2020</t>
  </si>
  <si>
    <t>Fife 2020_2021</t>
  </si>
  <si>
    <t>Fife 2021_2022</t>
  </si>
  <si>
    <t>Glasgow City 2018_2019</t>
  </si>
  <si>
    <t>Glasgow City 2019_2020</t>
  </si>
  <si>
    <t>Glasgow City 2020_2021</t>
  </si>
  <si>
    <t>Glasgow City 2021_2022</t>
  </si>
  <si>
    <t>Highland 2018_2019</t>
  </si>
  <si>
    <t>Highland 2019_2020</t>
  </si>
  <si>
    <t>Highland 2020_2021</t>
  </si>
  <si>
    <t>Highland 2021_2022</t>
  </si>
  <si>
    <t>Inverclyde 2018_2019</t>
  </si>
  <si>
    <t>Inverclyde 2019_2020</t>
  </si>
  <si>
    <t>Inverclyde 2020_2021</t>
  </si>
  <si>
    <t>Inverclyde 2021_2022</t>
  </si>
  <si>
    <t>Midlothian 2018_2019</t>
  </si>
  <si>
    <t>Midlothian 2019_2020</t>
  </si>
  <si>
    <t>Midlothian 2020_2021</t>
  </si>
  <si>
    <t>Midlothian 2021_2022</t>
  </si>
  <si>
    <t>Moray 2018_2019</t>
  </si>
  <si>
    <t>Moray 2019_2020</t>
  </si>
  <si>
    <t>Moray 2020_2021</t>
  </si>
  <si>
    <t>Moray 2021_2022</t>
  </si>
  <si>
    <t>Na h-Eileanan Siar 2018_2019</t>
  </si>
  <si>
    <t>Na h-Eileanan Siar 2019_2020</t>
  </si>
  <si>
    <t>Na h-Eileanan Siar 2020_2021</t>
  </si>
  <si>
    <t>Na h-Eileanan Siar 2021_2022</t>
  </si>
  <si>
    <t>No address 2018_2019</t>
  </si>
  <si>
    <t>No address 2019_2020</t>
  </si>
  <si>
    <t>No address 2020_2021</t>
  </si>
  <si>
    <t>No address 2021_2022</t>
  </si>
  <si>
    <t>North Ayrshire 2018_2019</t>
  </si>
  <si>
    <t>North Ayrshire 2019_2020</t>
  </si>
  <si>
    <t>North Ayrshire 2020_2021</t>
  </si>
  <si>
    <t>North Ayrshire 2021_2022</t>
  </si>
  <si>
    <t>North Lanarkshire 2018_2019</t>
  </si>
  <si>
    <t>North Lanarkshire 2019_2020</t>
  </si>
  <si>
    <t>North Lanarkshire 2020_2021</t>
  </si>
  <si>
    <t>North Lanarkshire 2021_2022</t>
  </si>
  <si>
    <t>Orkney Islands 2018_2019</t>
  </si>
  <si>
    <t>Orkney Islands 2019_2020</t>
  </si>
  <si>
    <t>Orkney Islands 2020_2021</t>
  </si>
  <si>
    <t>Orkney Islands 2021_2022</t>
  </si>
  <si>
    <t>Perth &amp; Kinross 2018_2019</t>
  </si>
  <si>
    <t>Perth &amp; Kinross 2019_2020</t>
  </si>
  <si>
    <t>Perth &amp; Kinross 2020_2021</t>
  </si>
  <si>
    <t>Perth &amp; Kinross 2021_2022</t>
  </si>
  <si>
    <t>Renfrewshire 2018_2019</t>
  </si>
  <si>
    <t>Renfrewshire 2019_2020</t>
  </si>
  <si>
    <t>Renfrewshire 2020_2021</t>
  </si>
  <si>
    <t>Renfrewshire 2021_2022</t>
  </si>
  <si>
    <t>Scottish Borders 2018_2019</t>
  </si>
  <si>
    <t>Scottish Borders 2019_2020</t>
  </si>
  <si>
    <t>Scottish Borders 2020_2021</t>
  </si>
  <si>
    <t>Scottish Borders 2021_2022</t>
  </si>
  <si>
    <t>Shetland Islands 2018_2019</t>
  </si>
  <si>
    <t>Shetland Islands 2019_2020</t>
  </si>
  <si>
    <t>Shetland Islands 2020_2021</t>
  </si>
  <si>
    <t>Shetland Islands 2021_2022</t>
  </si>
  <si>
    <t>South Ayrshire 2018_2019</t>
  </si>
  <si>
    <t>South Ayrshire 2019_2020</t>
  </si>
  <si>
    <t>South Ayrshire 2020_2021</t>
  </si>
  <si>
    <t>South Ayrshire 2021_2022</t>
  </si>
  <si>
    <t>South Lanarkshire 2018_2019</t>
  </si>
  <si>
    <t>South Lanarkshire 2019_2020</t>
  </si>
  <si>
    <t>South Lanarkshire 2020_2021</t>
  </si>
  <si>
    <t>South Lanarkshire 2021_2022</t>
  </si>
  <si>
    <t>Stirling 2018_2019</t>
  </si>
  <si>
    <t>Stirling 2019_2020</t>
  </si>
  <si>
    <t>Stirling 2020_2021</t>
  </si>
  <si>
    <t>Stirling 2021_2022</t>
  </si>
  <si>
    <t>Total 2018_2019</t>
  </si>
  <si>
    <t>Total 2019_2020</t>
  </si>
  <si>
    <t>Total 2020_2021</t>
  </si>
  <si>
    <t>Total 2021_2022</t>
  </si>
  <si>
    <t>West Dunbartonshire 2018_2019</t>
  </si>
  <si>
    <t>West Dunbartonshire 2019_2020</t>
  </si>
  <si>
    <t>West Dunbartonshire 2020_2021</t>
  </si>
  <si>
    <t>West Dunbartonshire 2021_2022</t>
  </si>
  <si>
    <t>West Lothian 2018_2019</t>
  </si>
  <si>
    <t>West Lothian 2019_2020</t>
  </si>
  <si>
    <t>West Lothian 2020_2021</t>
  </si>
  <si>
    <t>West Lothian 2021_2022</t>
  </si>
  <si>
    <t>2018_2019</t>
  </si>
  <si>
    <t>2019_2020</t>
  </si>
  <si>
    <t>2020_2021</t>
  </si>
  <si>
    <t>2021_2022</t>
  </si>
  <si>
    <t>Financial Years</t>
  </si>
  <si>
    <t>Unknown - Scottish address 2018_2019</t>
  </si>
  <si>
    <t>Unknown - Scottish address 2019_2020</t>
  </si>
  <si>
    <t>Unknown - Scottish address 2020_2021</t>
  </si>
  <si>
    <t>Unknown - Scottish address 2021_2022</t>
  </si>
  <si>
    <t>Non-Scottish postcode 2018_2019</t>
  </si>
  <si>
    <t>Non-Scottish postcode 2019_2020</t>
  </si>
  <si>
    <t>Non-Scottish postcode 2020_2021</t>
  </si>
  <si>
    <t>Non-Scottish postcode 2021_2022</t>
  </si>
  <si>
    <t>All time</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</si>
  <si>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</si>
  <si>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</si>
  <si>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</si>
  <si>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</si>
  <si>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</si>
  <si>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</si>
  <si>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</si>
  <si>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</si>
  <si>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</si>
  <si>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</si>
  <si>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</si>
  <si>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</si>
  <si>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</si>
  <si>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</si>
  <si>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</si>
  <si>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</si>
  <si>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</si>
  <si>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</si>
  <si>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</si>
  <si>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</si>
  <si>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</si>
  <si>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</si>
  <si>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</si>
  <si>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</si>
  <si>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</si>
  <si>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</si>
  <si>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</si>
  <si>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</si>
  <si>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</si>
  <si>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</si>
  <si>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</si>
  <si>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</si>
  <si>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</si>
  <si>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</si>
  <si>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</si>
  <si>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</si>
  <si>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December 2018</t>
  </si>
  <si>
    <t>January 2019</t>
  </si>
  <si>
    <t>February 2019</t>
  </si>
  <si>
    <t>February 2020</t>
  </si>
  <si>
    <t>February 2021</t>
  </si>
  <si>
    <t>March 2019</t>
  </si>
  <si>
    <t>April 2019</t>
  </si>
  <si>
    <t>May 2019</t>
  </si>
  <si>
    <t>June 2019</t>
  </si>
  <si>
    <t>July 2019</t>
  </si>
  <si>
    <t>August 2019</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</si>
  <si>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</si>
  <si>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</si>
  <si>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</si>
  <si>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</si>
  <si>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</si>
  <si>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</si>
  <si>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</si>
  <si>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</si>
  <si>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</si>
  <si>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</si>
  <si>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</si>
  <si>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</si>
  <si>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</si>
  <si>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</si>
  <si>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</si>
  <si>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</si>
  <si>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</si>
  <si>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</si>
  <si>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</si>
  <si>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</si>
  <si>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Notes are located below this table and begin in cell A36.</t>
  </si>
  <si>
    <t>Notes are located below this table and begin in cell A40.</t>
  </si>
  <si>
    <t>Applications processed in the same day</t>
  </si>
  <si>
    <t>Applications processed within 10 days</t>
  </si>
  <si>
    <t>Applications processed within 15 days</t>
  </si>
  <si>
    <t>Average Processing Time 
[note 4]</t>
  </si>
  <si>
    <t>Processing Time by Month 
[note 1][note 2]</t>
  </si>
  <si>
    <t>Financial Year 2018-2019</t>
  </si>
  <si>
    <t>Financial Year 2019-2020</t>
  </si>
  <si>
    <t>Financial Year 2020-2021</t>
  </si>
  <si>
    <t>Financial Year 2021-2022</t>
  </si>
  <si>
    <t>Table 11: Best Start Grant and Best Start Foods Payments by Local Authority</t>
  </si>
  <si>
    <t>Total value of payments
[note 4]</t>
  </si>
  <si>
    <t>Local Authority 
[note 1][note 2][note 3]</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</si>
  <si>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 Applications with 'Unknown' local authorities also include a small number of payments which cannot be linked to the full applicant details.</t>
  </si>
  <si>
    <t>[note 5] Best Start Foods payments began in September 2019. Due to the nature of payment, payment value is rounded to the nearest pound.</t>
  </si>
  <si>
    <t>This worksheet contains one table. Payments are summarised by month and financial year totals are located at the bottom of the table.</t>
  </si>
  <si>
    <t>This worksheet contains one table. Re-determinations are summarised by month.</t>
  </si>
  <si>
    <t>Re-determinations as a percentage of decisions processed</t>
  </si>
  <si>
    <t>Re-determinations 
pending by end of the month</t>
  </si>
  <si>
    <t>Table 13b: Appeals for Best Start Grant management information</t>
  </si>
  <si>
    <t>Table 13a: Re-determinations for Best Start Grant management information</t>
  </si>
  <si>
    <t>[note 3] Upheld means upheld in the applicant's favour</t>
  </si>
  <si>
    <t>This worksheet contains one table. Appeals are summarised by month.</t>
  </si>
  <si>
    <t>Reviews as a percentage of decisions processed</t>
  </si>
  <si>
    <t>Reviews completed 
[note 2]</t>
  </si>
  <si>
    <t>Review requests
pending by end of the month</t>
  </si>
  <si>
    <t>Completed 
reviews
which are disallowed 
[note 2]</t>
  </si>
  <si>
    <t>Completed 
reviews
which are allowed or partially allowed 
[note 2]</t>
  </si>
  <si>
    <t>Completed 
reviews
which are withdrawn 
[note 2]</t>
  </si>
  <si>
    <t>Percentage of 
reviews
disallowed 
[note 2]</t>
  </si>
  <si>
    <t>Percentage of 
reviews
allowed or partially allowed 
[note 2]</t>
  </si>
  <si>
    <t>Percentage of 
reviews
withdrawn 
[note 2]</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</si>
  <si>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</si>
  <si>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</si>
  <si>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</si>
  <si>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</si>
  <si>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</si>
  <si>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Percentage of applications for Best Start Grant - Pregnancy and Baby Payment [note 6]</t>
  </si>
  <si>
    <t>Percentage of applications for Best Start Grant - Early Learning Payment 
[note 7]</t>
  </si>
  <si>
    <t>Percentage of applications for Best Start Grant - School Age Payment 
[note 7]</t>
  </si>
  <si>
    <t>Percentage of applications for Best Start Foods [note 8]</t>
  </si>
  <si>
    <t>Percentage of applications for Unknown application [note 9]</t>
  </si>
  <si>
    <t>Percentage of applications for Best Start Foods
 [note 8]</t>
  </si>
  <si>
    <t xml:space="preserve">Percentage of total pregnancy and baby applications received </t>
  </si>
  <si>
    <t>Percentage of applications processed within 10 days 
[note 3]</t>
  </si>
  <si>
    <t>Percentage of Best Start Grant - Pregnancy and Baby Payments</t>
  </si>
  <si>
    <t xml:space="preserve">Percentage of Best Start Grant - Early Learning Payments </t>
  </si>
  <si>
    <t>Percentage of Best Start Grant - School Age Payments</t>
  </si>
  <si>
    <t>Percentage of Best Start Foods Payments</t>
  </si>
  <si>
    <t>Ayrshire and Arran 2018_2019</t>
  </si>
  <si>
    <t>Ayrshire and Arran 2019_2020</t>
  </si>
  <si>
    <t>Ayrshire and Arran 2020_2021</t>
  </si>
  <si>
    <t>Ayrshire and Arran 2021_2022</t>
  </si>
  <si>
    <t>Ayrshire and Arran All time</t>
  </si>
  <si>
    <t>Borders 2018_2019</t>
  </si>
  <si>
    <t>Borders 2019_2020</t>
  </si>
  <si>
    <t>Borders 2020_2021</t>
  </si>
  <si>
    <t>Borders 2021_2022</t>
  </si>
  <si>
    <t>Borders All time</t>
  </si>
  <si>
    <t>Dumfries and Galloway 2018_2019</t>
  </si>
  <si>
    <t>Dumfries and Galloway 2019_2020</t>
  </si>
  <si>
    <t>Dumfries and Galloway 2020_2021</t>
  </si>
  <si>
    <t>Dumfries and Galloway 2021_2022</t>
  </si>
  <si>
    <t>Dumfries and Galloway All time</t>
  </si>
  <si>
    <t>Forth Valley 2018_2019</t>
  </si>
  <si>
    <t>Forth Valley 2019_2020</t>
  </si>
  <si>
    <t>Forth Valley 2020_2021</t>
  </si>
  <si>
    <t>Forth Valley 2021_2022</t>
  </si>
  <si>
    <t>Forth Valley All time</t>
  </si>
  <si>
    <t>Grampian 2018_2019</t>
  </si>
  <si>
    <t>Grampian 2019_2020</t>
  </si>
  <si>
    <t>Grampian 2020_2021</t>
  </si>
  <si>
    <t>Grampian 2021_2022</t>
  </si>
  <si>
    <t>Grampian All time</t>
  </si>
  <si>
    <t>Greater Glasgow and Clyde 2018_2019</t>
  </si>
  <si>
    <t>Greater Glasgow and Clyde 2019_2020</t>
  </si>
  <si>
    <t>Greater Glasgow and Clyde 2020_2021</t>
  </si>
  <si>
    <t>Greater Glasgow and Clyde 2021_2022</t>
  </si>
  <si>
    <t>Greater Glasgow and Clyde All time</t>
  </si>
  <si>
    <t>Lanarkshire 2018_2019</t>
  </si>
  <si>
    <t>Lanarkshire 2019_2020</t>
  </si>
  <si>
    <t>Lanarkshire 2020_2021</t>
  </si>
  <si>
    <t>Lanarkshire 2021_2022</t>
  </si>
  <si>
    <t>Lanarkshire All time</t>
  </si>
  <si>
    <t>Lothian 2018_2019</t>
  </si>
  <si>
    <t>Lothian 2019_2020</t>
  </si>
  <si>
    <t>Lothian 2020_2021</t>
  </si>
  <si>
    <t>Lothian 2021_2022</t>
  </si>
  <si>
    <t>Lothian All time</t>
  </si>
  <si>
    <t>Orkney 2018_2019</t>
  </si>
  <si>
    <t>Orkney 2019_2020</t>
  </si>
  <si>
    <t>Orkney 2020_2021</t>
  </si>
  <si>
    <t>Orkney 2021_2022</t>
  </si>
  <si>
    <t>Orkney All time</t>
  </si>
  <si>
    <t>Shetland 2018_2019</t>
  </si>
  <si>
    <t>Shetland 2019_2020</t>
  </si>
  <si>
    <t>Shetland 2020_2021</t>
  </si>
  <si>
    <t>Shetland 2021_2022</t>
  </si>
  <si>
    <t>Shetland All time</t>
  </si>
  <si>
    <t>Tayside 2018_2019</t>
  </si>
  <si>
    <t>Tayside 2019_2020</t>
  </si>
  <si>
    <t>Tayside 2020_2021</t>
  </si>
  <si>
    <t>Tayside 2021_2022</t>
  </si>
  <si>
    <t>Tayside All time</t>
  </si>
  <si>
    <t>Unknown 2018_2019</t>
  </si>
  <si>
    <t>Unknown 2019_2020</t>
  </si>
  <si>
    <t>Unknown 2020_2021</t>
  </si>
  <si>
    <t>Unknown 2021_2022</t>
  </si>
  <si>
    <t>Unknown All time</t>
  </si>
  <si>
    <t>Western Isles 2018_2019</t>
  </si>
  <si>
    <t>Western Isles 2019_2020</t>
  </si>
  <si>
    <t>Western Isles 2020_2021</t>
  </si>
  <si>
    <t>Western Isles 2021_2022</t>
  </si>
  <si>
    <t>Western Isles All time</t>
  </si>
  <si>
    <t>18-24 2018_2019</t>
  </si>
  <si>
    <t>18-24 2019_2020</t>
  </si>
  <si>
    <t>18-24 2020_2021</t>
  </si>
  <si>
    <t>18-24 2021_2022</t>
  </si>
  <si>
    <t>18-24 All time</t>
  </si>
  <si>
    <t>25-29 2018_2019</t>
  </si>
  <si>
    <t>25-29 2019_2020</t>
  </si>
  <si>
    <t>25-29 2020_2021</t>
  </si>
  <si>
    <t>25-29 2021_2022</t>
  </si>
  <si>
    <t>25-29 All time</t>
  </si>
  <si>
    <t>30-34 2018_2019</t>
  </si>
  <si>
    <t>30-34 2019_2020</t>
  </si>
  <si>
    <t>30-34 2020_2021</t>
  </si>
  <si>
    <t>30-34 2021_2022</t>
  </si>
  <si>
    <t>30-34 All time</t>
  </si>
  <si>
    <t>35-39 2018_2019</t>
  </si>
  <si>
    <t>35-39 2019_2020</t>
  </si>
  <si>
    <t>35-39 2020_2021</t>
  </si>
  <si>
    <t>35-39 2021_2022</t>
  </si>
  <si>
    <t>35-39 All time</t>
  </si>
  <si>
    <t>40-44 2018_2019</t>
  </si>
  <si>
    <t>40-44 2019_2020</t>
  </si>
  <si>
    <t>40-44 2020_2021</t>
  </si>
  <si>
    <t>40-44 2021_2022</t>
  </si>
  <si>
    <t>40-44 All time</t>
  </si>
  <si>
    <t>45-49 2018_2019</t>
  </si>
  <si>
    <t>45-49 2019_2020</t>
  </si>
  <si>
    <t>45-49 2020_2021</t>
  </si>
  <si>
    <t>45-49 2021_2022</t>
  </si>
  <si>
    <t>45-49 All time</t>
  </si>
  <si>
    <t>50-54 2018_2019</t>
  </si>
  <si>
    <t>50-54 2019_2020</t>
  </si>
  <si>
    <t>50-54 2020_2021</t>
  </si>
  <si>
    <t>50-54 2021_2022</t>
  </si>
  <si>
    <t>50-54 All time</t>
  </si>
  <si>
    <t>55-59 2018_2019</t>
  </si>
  <si>
    <t>55-59 2019_2020</t>
  </si>
  <si>
    <t>55-59 2020_2021</t>
  </si>
  <si>
    <t>55-59 2021_2022</t>
  </si>
  <si>
    <t>55-59 All time</t>
  </si>
  <si>
    <t>60-64 2018_2019</t>
  </si>
  <si>
    <t>60-64 2019_2020</t>
  </si>
  <si>
    <t>60-64 2020_2021</t>
  </si>
  <si>
    <t>60-64 2021_2022</t>
  </si>
  <si>
    <t>60-64 All time</t>
  </si>
  <si>
    <t>65 and over 2018_2019</t>
  </si>
  <si>
    <t>65 and over 2019_2020</t>
  </si>
  <si>
    <t>65 and over 2020_2021</t>
  </si>
  <si>
    <t>65 and over 2021_2022</t>
  </si>
  <si>
    <t>65 and over All time</t>
  </si>
  <si>
    <t>Under 18 2018_2019</t>
  </si>
  <si>
    <t>Under 18 2019_2020</t>
  </si>
  <si>
    <t>Under 18 2020_2021</t>
  </si>
  <si>
    <t>Under 18 2021_2022</t>
  </si>
  <si>
    <t>Under 18 All time</t>
  </si>
  <si>
    <t>Applicant Age Group
[note 1][note 2]</t>
  </si>
  <si>
    <t>Notes are located below this table and begin in cell A13.</t>
  </si>
  <si>
    <t>Notes are located below this table and begin in cell A20.</t>
  </si>
  <si>
    <t>Notes are located below this table and begin in cell A43.</t>
  </si>
  <si>
    <t>Notes are located below this table and begin in cell A25.</t>
  </si>
  <si>
    <t>Notes are located below this table and begin in cell A11.</t>
  </si>
  <si>
    <t>This worksheet contains one table. Reviews are summarised by month.</t>
  </si>
  <si>
    <t>[c]</t>
  </si>
  <si>
    <t xml:space="preserve">Component included in application 
</t>
  </si>
  <si>
    <t xml:space="preserve">Authorised applications </t>
  </si>
  <si>
    <t xml:space="preserve">Denied Applications </t>
  </si>
  <si>
    <t xml:space="preserve">Withdrawn applications </t>
  </si>
  <si>
    <t>Best Start Foods 2019_2020</t>
  </si>
  <si>
    <t>Best Start Foods 2020_2021</t>
  </si>
  <si>
    <t>Best Start Foods 2021_2022</t>
  </si>
  <si>
    <t>Best Start Foods All time</t>
  </si>
  <si>
    <t>Pregnancy and Baby Payment 2018_2019</t>
  </si>
  <si>
    <t>Pregnancy and Baby Payment 2019_2020</t>
  </si>
  <si>
    <t>Pregnancy and Baby Payment 2020_2021</t>
  </si>
  <si>
    <t>Pregnancy and Baby Payment 2021_2022</t>
  </si>
  <si>
    <t>Pregnancy and Baby Payment All time</t>
  </si>
  <si>
    <t>School Age Payment 2019_2020</t>
  </si>
  <si>
    <t>School Age Payment 2020_2021</t>
  </si>
  <si>
    <t>School Age Payment 2021_2022</t>
  </si>
  <si>
    <t>School Age Payment All time</t>
  </si>
  <si>
    <t>Best Start Foods 2018_2019</t>
  </si>
  <si>
    <t>Early Learning Payment 2018_2019</t>
  </si>
  <si>
    <t>Early Learning Payment 2019_2020</t>
  </si>
  <si>
    <t>Early Learning Payment 2020_2021</t>
  </si>
  <si>
    <t>Early Learning Payment 2021_2022</t>
  </si>
  <si>
    <t>Early Learning Payment All time</t>
  </si>
  <si>
    <t>School Age Payment 2018_2019</t>
  </si>
  <si>
    <t>[C]</t>
  </si>
  <si>
    <t>First or Subsequent Birth [note 1,4]</t>
  </si>
  <si>
    <t>First Birth 2018_2019</t>
  </si>
  <si>
    <t>First Birth 2019_2020</t>
  </si>
  <si>
    <t>First Birth 2020_2021</t>
  </si>
  <si>
    <t>First Birth 2021_2022</t>
  </si>
  <si>
    <t>First Birth All time</t>
  </si>
  <si>
    <t>Subsequent Birth 2018_2019</t>
  </si>
  <si>
    <t>Subsequent Birth 2019_2020</t>
  </si>
  <si>
    <t>Subsequent Birth 2020_2021</t>
  </si>
  <si>
    <t>Subsequent Birth 2021_2022</t>
  </si>
  <si>
    <t>Subsequent Birth All time</t>
  </si>
  <si>
    <t>Multiple Births 2018_2019</t>
  </si>
  <si>
    <t>Multiple Births 2019_2020</t>
  </si>
  <si>
    <t>Multiple Births 2020_2021</t>
  </si>
  <si>
    <t>Multiple Births 2021_2022</t>
  </si>
  <si>
    <t>Multiple Births All Time</t>
  </si>
  <si>
    <t>Table 9: Applications for Best Start Grant Pregnancy and Baby Payment by Type of Birth</t>
  </si>
  <si>
    <t>Total Pregnancy and Baby Applications 2018_2019</t>
  </si>
  <si>
    <t>Total Pregnancy and Baby Applications 2019_2020</t>
  </si>
  <si>
    <t>Total Pregnancy and Baby Applications 2020_2021</t>
  </si>
  <si>
    <t>Total Pregnancy and Baby Applications 2021_2022</t>
  </si>
  <si>
    <t>Total Pregnancy and Baby Applications All time</t>
  </si>
  <si>
    <t>Not Applicable</t>
  </si>
  <si>
    <t>Not applicable</t>
  </si>
  <si>
    <t>Percentage of Paper and Phone Applications</t>
  </si>
  <si>
    <t>See cell F7</t>
  </si>
  <si>
    <t>See cell F8</t>
  </si>
  <si>
    <t>See cell F6</t>
  </si>
  <si>
    <t>See cell F9</t>
  </si>
  <si>
    <t>See cell F10</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</si>
  <si>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</si>
  <si>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</si>
  <si>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</si>
  <si>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</si>
  <si>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</si>
  <si>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</si>
  <si>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Number of 
review requests
received 
[note 1]</t>
  </si>
  <si>
    <t>This worksheet contains one table. Payments are summarised by 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</si>
  <si>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</si>
  <si>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</si>
  <si>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</si>
  <si>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</si>
  <si>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</si>
  <si>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</si>
  <si>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</si>
  <si>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</si>
  <si>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</si>
  <si>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</si>
  <si>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</si>
  <si>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</si>
  <si>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</si>
  <si>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</si>
  <si>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</si>
  <si>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</si>
  <si>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</si>
  <si>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</si>
  <si>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</si>
  <si>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</si>
  <si>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</si>
  <si>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</si>
  <si>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</si>
  <si>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</si>
  <si>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</si>
  <si>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</si>
  <si>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</si>
  <si>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</si>
  <si>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</si>
  <si>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</si>
  <si>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</si>
  <si>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</si>
  <si>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t>
  </si>
  <si>
    <t>Non-Scottish</t>
  </si>
  <si>
    <t>No address</t>
  </si>
  <si>
    <t>See cells D11 and E11</t>
  </si>
  <si>
    <t>See cells D12 and E12</t>
  </si>
  <si>
    <t>See cells D13 and E13</t>
  </si>
  <si>
    <t>See cells D14 and E14</t>
  </si>
  <si>
    <t>See cells D15 and E15</t>
  </si>
  <si>
    <t>See cells D16 and E16</t>
  </si>
  <si>
    <t>See cells D17 and E17</t>
  </si>
  <si>
    <t>See cells D18 and E18</t>
  </si>
  <si>
    <t>See cells D19 and E19</t>
  </si>
  <si>
    <t>See cells D20 and E20</t>
  </si>
  <si>
    <t>See cells D21 and E21</t>
  </si>
  <si>
    <t>See cells D22 and E22</t>
  </si>
  <si>
    <t>See cells D23 and E23</t>
  </si>
  <si>
    <t>See cells D24 and E24</t>
  </si>
  <si>
    <t>See cells D25 and E25</t>
  </si>
  <si>
    <t>See cells D26 and E26</t>
  </si>
  <si>
    <t>See cells D27 and E27</t>
  </si>
  <si>
    <t>See cells D28 and E28</t>
  </si>
  <si>
    <t>See cells D29 and E29</t>
  </si>
  <si>
    <t>See cells D30 and E30</t>
  </si>
  <si>
    <t>See cells D31 and E31</t>
  </si>
  <si>
    <t>See cells D32 and E32</t>
  </si>
  <si>
    <t>See cells D33 and E33</t>
  </si>
  <si>
    <t>See cells D34 and E34</t>
  </si>
  <si>
    <t>See cells D35 and E35</t>
  </si>
  <si>
    <t>Percent of Total Applications Processed</t>
  </si>
  <si>
    <t>Notes are located below this table and begin in cell A37.</t>
  </si>
  <si>
    <t>not applicable</t>
  </si>
  <si>
    <t>Table 13b</t>
  </si>
  <si>
    <t>Table 13a</t>
  </si>
  <si>
    <t>Re-determinations for Best Start Grant management information</t>
  </si>
  <si>
    <t>Appeals for Best Start Grant management information</t>
  </si>
  <si>
    <t>Table 2 - Full Data</t>
  </si>
  <si>
    <t>Table 4 - Full Data</t>
  </si>
  <si>
    <t>Table 5 - Full Data</t>
  </si>
  <si>
    <t>Table 6 - Full Data</t>
  </si>
  <si>
    <t>Table 7 - Full Data</t>
  </si>
  <si>
    <t>Table 8 - Full Data</t>
  </si>
  <si>
    <t>Table 9 - Full Data</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</si>
  <si>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</si>
  <si>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</si>
  <si>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</si>
  <si>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</si>
  <si>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</si>
  <si>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</si>
  <si>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</si>
  <si>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Best Start Grant and Best Start Foods from 10 December 2018 to 31 May 2021</t>
  </si>
  <si>
    <t>Month
 [note 1][note 2][note 3][note 4]</t>
  </si>
  <si>
    <t>[note 1] Financial Year 2018 - 2019 includes the months from December 2018 to March 2019.</t>
  </si>
  <si>
    <t>[note 2] Financial Year 2019 - 2020 includes the months from April 2019 to March 2020.</t>
  </si>
  <si>
    <t>[note 4] Financial Year 2021 - 2022 includes the months from April 2021 to May 2021.</t>
  </si>
  <si>
    <t>Total applications received 
[note 5]</t>
  </si>
  <si>
    <t>[note 5] From 12 August 2019 applications received are counted for both Best Start Grant and Best Start Foods. Until 12 August 2019 the numbers only include Best Start Grant applications.</t>
  </si>
  <si>
    <t>Total applications processed  [note 6]</t>
  </si>
  <si>
    <t xml:space="preserve">[note 6] Applications are processed once a decision has been made to authorise or deny, or once an application is withdrawn by the applicant. Data is presented by the month of decision rather than month the application was received. </t>
  </si>
  <si>
    <t>[note 7] Application was authorised for either Best Start Foods or at least one Best Start Grant payment.</t>
  </si>
  <si>
    <t>[note 8] Application was denied for both Best Start Foods and all Best Start Grant payments.</t>
  </si>
  <si>
    <t>[note 9] Applications were either withdrawn for both payments from 12 August 2019, or Best Start Grant application was withdrawn before the launch of Best Start Foods.</t>
  </si>
  <si>
    <t>Phone Applications 
[note 2][note 3]</t>
  </si>
  <si>
    <t>[note 1] From 12 August 2019 applications received are counted for both Best Start Grant and Best Start Foods. Until 12 August 2019 the numbers only include Best Start Grant.</t>
  </si>
  <si>
    <t>[note 2] Application channel cannot be broken down into paper and phone before May 2019</t>
  </si>
  <si>
    <t>[note 3] Changes were made in March 2020 in response to the Covid-19 pandemic meaning the full telephony service was not available between 24th March onwards. On 3rd July, a limited inbound telephony service was re-introduced. The full telephony service resumed on 2nd November.</t>
  </si>
  <si>
    <t>[note 4] Where application channel has been manually entered incorrectly, application channel has been classed as ‘unknown’. These figures are not subject to suppression as they do not reveal information on any individuals.</t>
  </si>
  <si>
    <t>[C] Figures suppressed for disclosure control</t>
  </si>
  <si>
    <t>[note 3] Financial Year 2020 - 2021 includes the months from April 2020 to March 2021.</t>
  </si>
  <si>
    <t>[note 5] Applications for multiple types of payment are counted multiple times within this table.</t>
  </si>
  <si>
    <t xml:space="preserve">[note 6] Applications are categorised as being for Pregnancy and Baby Payment if the application form included baby details. </t>
  </si>
  <si>
    <t>[note 7] Applications are categorised as being for Early Learning Payment, School Age Payment, or Best Start Foods if the application form was received on or after the payment went live and it had details of dependent children of the relevant eligible ages.</t>
  </si>
  <si>
    <t xml:space="preserve">[note 8] Applications are categorised as being Unknown, where no children were of eligible age for either Best Start Grant or Best Start Foods payment. The authorisation rate for unknown applications is low because the application did not include children of eligible age. </t>
  </si>
  <si>
    <t>[note 9] It is likely that all applications in the 2018 - 2019 financial year were for Pregnancy and Baby Payment but some applications contained no evidence of pregnancy or eligible children and are categorised as 'unknown'.</t>
  </si>
  <si>
    <t>Component included in application 
[note 5][note 6][note 7][note 8]
[note 9]</t>
  </si>
  <si>
    <t>Combined Phone and Paper Applications 
[note 2]</t>
  </si>
  <si>
    <t>[note 1] The under 18 age group includes some possible errors in date of birth.</t>
  </si>
  <si>
    <t>[note 5]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</si>
  <si>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Local Authority 
[note 5][note 6][note 7]</t>
  </si>
  <si>
    <t>[note 7] Some applications did not have a postcode and therefore cannot be matched to local authority or country.</t>
  </si>
  <si>
    <t>[note 8] From 12 August 2019 applications received are counted for both Best Start Grant and Best Start Foods. Until 12 August 2019 the numbers only include Best Start Grant.</t>
  </si>
  <si>
    <t>[note 9] Application was authorised for either Best Start Foods or at least one Best Start Grant payment.</t>
  </si>
  <si>
    <t>[note 10] Application was denied for both Best Start Foods and all Best Start Grant payments.</t>
  </si>
  <si>
    <t>[note 11] Applications were either withdrawn for both payments from 12 August 2019, or Best Start Grant application was withdrawn before the launch of Best Start Foods.</t>
  </si>
  <si>
    <t>[note 6]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</si>
  <si>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local authority will not equal the total applications for that local authority.</t>
  </si>
  <si>
    <t>Total applications received 
[note 8]</t>
  </si>
  <si>
    <t>Authorised applications [note 9]</t>
  </si>
  <si>
    <t>Denied Applications [note 10]</t>
  </si>
  <si>
    <t>Withdrawn applications [note 11]</t>
  </si>
  <si>
    <t>Applications for Best Start Grant - Pregnancy and Baby Payment 
[note 9][note 10]</t>
  </si>
  <si>
    <t>Applications for Best Start Grant - Early Learning Payment 
[note 9][note 11]</t>
  </si>
  <si>
    <t>Applications for Best Start grant - School Age Payment 
[note 9][note 11]</t>
  </si>
  <si>
    <t>Percentage of applications for Best Start Grant - Pregnancy and Baby Payment [note 9][note 10]</t>
  </si>
  <si>
    <t>Percentage of applications for Best Start Grant - Early Learning Payment 
[note 9][note 11]</t>
  </si>
  <si>
    <t>Percentage of applications for Best Start Grant - School Age Payment 
[note 9][note 11]</t>
  </si>
  <si>
    <t>Percentage of applications for Unknown application [note 9][note 12]</t>
  </si>
  <si>
    <t xml:space="preserve">[note 10] Applications are categorised as being for Pregnancy and Baby Payment if the application form included baby details. </t>
  </si>
  <si>
    <t>[note 11] Applications are categorised as being for Early Learning Payment, School Age Payment, or Best Start Foods if the application form was received on or after the payment went live and it had details of dependent children of the relevant eligible ages.</t>
  </si>
  <si>
    <t xml:space="preserve">[note 12] Applications are categorised as being Unknown, where no children were of eligible age for either Best Start Grant or Best Start Foods payment. The authorisation rate for unknown applications is low because the application did not include children of eligible age. </t>
  </si>
  <si>
    <t>Applications for Best Start Foods 
[note 9][note 11]</t>
  </si>
  <si>
    <t>Health Board
[note 5][note 6][note 7]</t>
  </si>
  <si>
    <t>[note 5]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</si>
  <si>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7] Some applications did not have a postcode and therefore cannot be matched to health board or country.</t>
  </si>
  <si>
    <t>[note 6]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</si>
  <si>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health board will not equal the total applications for that health board.</t>
  </si>
  <si>
    <t xml:space="preserve">[note 5]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 </t>
  </si>
  <si>
    <t>[note 6] Applications are counted as 'multiple birth' if they contained information on more than 1 expected child.</t>
  </si>
  <si>
    <t>[note 7] From 12 August 2019 applications received are counted for both Best Start Grant and Best Start Foods. Until 12 August 2019 the numbers only include Best Start Grant.</t>
  </si>
  <si>
    <t>[note 8] Applications are only counted as 'authorised' if they have been authorised for pregnancy and baby payment. Applications that were authorised for Early Learning Payment or School Age Payment but not baby payment are counted as 'denied' in this table.</t>
  </si>
  <si>
    <t>Total applications received 
[note 7]</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</si>
  <si>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</si>
  <si>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All decisions made in December 2018 were made within 15 working days, and a high number were made within ten days. This is because applications were taken from 10 December, leaving only 14 working days in the rest of the month during which decisions could be made.</t>
  </si>
  <si>
    <t>[note 4] Median average processing time. The median is the middle value of an ordered dataset, or the point at which half of the values are higher and half of the values are lower. Value is dispayed in days.</t>
  </si>
  <si>
    <t xml:space="preserve">Total applications excluding 
re-determinations
</t>
  </si>
  <si>
    <t>This worksheet contains one table. Applications are summarised by month and application channel.</t>
  </si>
  <si>
    <t>This worksheet contains one table on processing times. Applications are summarised by month. Percentages of total processed applications are located at the bottom of the table.</t>
  </si>
  <si>
    <t>Notes are located below this table and begin in cell A41.</t>
  </si>
  <si>
    <t>[note 4] Includes payments that are a result of re-determinations and appeals.</t>
  </si>
  <si>
    <t>Value of Best Start Grant - Pregnancy and Baby Payments [note 4]</t>
  </si>
  <si>
    <t>Value of Best Start Grant - Early Learning Payments [note 4]</t>
  </si>
  <si>
    <t>Value of Best Start Grant - School Age Payments [note 4]</t>
  </si>
  <si>
    <t>Value of Best Start Foods Payments 
[note 4][note 5]</t>
  </si>
  <si>
    <t>[note 1] Payment values have been allocated to the month the payment was issued, rather than the month it was received by a client.</t>
  </si>
  <si>
    <t>[note 2] Financial Year 2018 - 2019 includes the months from December 2018 to March 2019.</t>
  </si>
  <si>
    <t>[note 3] Financial Year 2019 - 2020 includes the months from April 2019 to March 2020.</t>
  </si>
  <si>
    <t>[note 4] Financial Year 2020 - 2021 includes the months from April 2020 to March 2021.</t>
  </si>
  <si>
    <t>[note 5] Financial Year 2021 - 2022 includes the months from April 2021 to May 2021.</t>
  </si>
  <si>
    <t>Payment Month 
[note 1][note 2][note 3][note 4][note 5]</t>
  </si>
  <si>
    <t>[note 6] Includes payments that are a result of re-determinations and appeals.</t>
  </si>
  <si>
    <t>[note 7] The Best Start Foods payment cycles occur every four weeks. Two payment cycles fell within both January 2020 and December 2020.</t>
  </si>
  <si>
    <t>Total value of payments
[note 6]</t>
  </si>
  <si>
    <t>Value of Best Start Grant - Pregnancy and Baby Payments [note 6]</t>
  </si>
  <si>
    <t>Value of Best Start Grant - Early Learning Payments [note 6]</t>
  </si>
  <si>
    <t>Value of Best Start Grant - School Age Payments [note 6]</t>
  </si>
  <si>
    <t>Value of Best Start Foods Payments 
[note 6][note 7]</t>
  </si>
  <si>
    <t>[note 1] Data is presented by the month the redetermination was received. Data presented does not include invalid re-determinations.</t>
  </si>
  <si>
    <t>[note 2] Data is presented by the month of decision rather than month the re-determination was received. Data presented does not include invalid re-determinations.</t>
  </si>
  <si>
    <t>Re-determinations completed 
[note 2]</t>
  </si>
  <si>
    <t>Completed 
re-determinations 
which are disallowed 
[note 2]</t>
  </si>
  <si>
    <t>Completed 
re-determinations 
which are allowed or partially allowed 
[note 2]</t>
  </si>
  <si>
    <t>Completed 
re-determinations 
which are withdrawn 
[note 2]</t>
  </si>
  <si>
    <t>Percentage of 
re-determinations
disallowed 
[note 2]</t>
  </si>
  <si>
    <t>Percentage of 
re-determinations 
allowed or partially allowed 
[note 2]</t>
  </si>
  <si>
    <t>Percentage of 
re-determinations 
withdrawn 
[note 2]</t>
  </si>
  <si>
    <t>Re-determinations 
closed within 16 working days 
[note 1][note 3]</t>
  </si>
  <si>
    <t xml:space="preserve">[note 3] Average days to respond and percentage closed within 16 working days are only calculated for re-determinations that were disallowed, allowed, or partially allowed - this figure excludes re-determinations that were withdrawn or invalid. </t>
  </si>
  <si>
    <t>[note 4] Median has been used to calculate the average number of days to respond. The median is the middle value of an ordered dataset, or the point at which half of the values are higher and half of the values are lower.</t>
  </si>
  <si>
    <t>Average number of days to respond 
[note 2][note 3][note4]</t>
  </si>
  <si>
    <t>Number of appeals received 
[note 1]</t>
  </si>
  <si>
    <t>[note 1] Figures exclude withdrawn and invalid appeals</t>
  </si>
  <si>
    <t>Appeal hearings taking place 
[note 1][note 2]</t>
  </si>
  <si>
    <t>Appeals upheld [note 1][note 2][note 3]</t>
  </si>
  <si>
    <t>Appeals not upheld
[note 1][note 2][note 3]</t>
  </si>
  <si>
    <t>Percentage of appeals upheld
[note 1][note 2][note 3]</t>
  </si>
  <si>
    <t>Percentage of appeals not upheld
[note 1][note 2][note 3]</t>
  </si>
  <si>
    <t>[note 2] Data is presented by the month of decision rather than month the appeal was received.</t>
  </si>
  <si>
    <t>Notes are located below this table and begin in cell A28.</t>
  </si>
  <si>
    <t xml:space="preserve">[note 2] Data is presented by the month of decision rather than month the request was received. </t>
  </si>
  <si>
    <t>[note 1] Figures do not include applications that had a review that were deemed 'invalid'.</t>
  </si>
  <si>
    <t xml:space="preserve">[note 3] Average days to respond are only calculated for reviews that were disallowed or allowed - this figure excludes reviews that were withdrawn and Best Start Grant applications that had a re-determination associated with them. </t>
  </si>
  <si>
    <t>[note 4] Median has been used to calculate average number of days to respond. The median is the middle value of an ordered dataset, or the point at which half of the values are higher and half of the values are lower.</t>
  </si>
  <si>
    <t>Average number of days to respond 
[note 2][note 3][note 4]</t>
  </si>
  <si>
    <t>Denied Applications [note 12]</t>
  </si>
  <si>
    <t>[note 10]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</si>
  <si>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11]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</si>
  <si>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12]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</si>
  <si>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13] Applications were either withdrawn for both payments from 12 August 2019, or Best Start Grant application was withdrawn before the launch of Best Start Foods. For each component included in the application form, application was only withdrawn for the particular component.</t>
  </si>
  <si>
    <t xml:space="preserve">Total applications received 
[note 3]
</t>
  </si>
  <si>
    <t>Financial Year selection 
[note 1][note 2][note 3][note 4]:</t>
  </si>
  <si>
    <t>Total applications processed 
[note 10]</t>
  </si>
  <si>
    <t>Authorised applications 
[note 11]</t>
  </si>
  <si>
    <t>Withdrawn applications 
[note 13]</t>
  </si>
  <si>
    <t>Paper Applications 
[note 2]</t>
  </si>
  <si>
    <t>Unknown Channel 
[note 4]</t>
  </si>
  <si>
    <t>Applications Received by month 
[note 1]</t>
  </si>
  <si>
    <t>Applications for Unknown application 
[note 9][note 12]</t>
  </si>
  <si>
    <t>Percentage of applications for Best Start Foods
 [note 9][note 11]</t>
  </si>
  <si>
    <t>Financial Year selection
 [note 1][note 2][note 3][note 4]:</t>
  </si>
  <si>
    <t>Percentage of applications for Best Start Grant - Pregnancy and Baby Payment 
[note 9][note 10]</t>
  </si>
  <si>
    <t>Percentage of applications for Best Start Foods 
[note 9][note 11]</t>
  </si>
  <si>
    <t>Type of Birth 
[note 5][note 6]</t>
  </si>
  <si>
    <t>Authorised applications 
[note 8]</t>
  </si>
  <si>
    <t>[note 1] Processing time is calculated in working days, and public holidays are excluded, even if applications were processed by staff working overtime on these days. Processing time is only calculated for applications that were decided by 31 May 2021,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</si>
  <si>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Number of 
re-determinations 
received 
[note 1]</t>
  </si>
  <si>
    <t>Table 14: Reviews for Best Start Foods management information</t>
  </si>
  <si>
    <t>This worksheet contains one table which uses a drop down menu to present the statistics by financial year. To select the financial year, navigate to cell B5 and either click the down arrow on screen or use the keyboard shortcut alt plus the down arrow.</t>
  </si>
  <si>
    <t>To view the full data behind this table please see the worksheet titled Table 2 - Full data.</t>
  </si>
  <si>
    <t>To view the full data behind this table please see the worksheet titled Table 4 - Full data.</t>
  </si>
  <si>
    <t>To view the full data behind this table please see the worksheet titled Table 5 - Full data.</t>
  </si>
  <si>
    <t>To view the full data behind this table please see the worksheet titled Table 6 - Full data.</t>
  </si>
  <si>
    <t>To view the full data behind this table please see the worksheet titled Table 7 - Full data.</t>
  </si>
  <si>
    <t>To view the full data behind this table please see the worksheet titled Table 8 - Full data.</t>
  </si>
  <si>
    <t>To view the full data behind this table please see the worksheet titled Table 9 - Full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</si>
</sst>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 ;\-#,##0\ "/>
    <numFmt numFmtId="166" formatCode="0.000000"/>
    <numFmt numFmtId="167" formatCode="_-* #,##0_-;\-* #,##0_-;_-* &quot;-&quot;??_-;_-@_-"/>
  </numFmts>
  <fonts count="17"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2"/>
      <name val="Calibri"/>
      <family val="2"/>
      <scheme val="minor"/>
    </font>
    <font>
      <sz val="12"/>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bottom/>
      <diagonal/>
    </border>
    <border>
      <left/>
      <right style="thin">
        <color indexed="64"/>
      </right>
      <top/>
      <bottom style="thin">
        <color indexed="64"/>
      </bottom>
      <diagonal/>
    </border>
    <border>
      <left style="thin">
        <color indexed="64"/>
      </left>
      <right style="thick">
        <color indexed="64"/>
      </right>
      <top/>
      <bottom style="medium">
        <color indexed="64"/>
      </bottom>
      <diagonal/>
    </border>
    <border>
      <left/>
      <right style="thick">
        <color indexed="64"/>
      </right>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5"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59">
    <xf numFmtId="0" fontId="0" fillId="0" borderId="0" xfId="0"/>
    <xf numFmtId="0" fontId="1" fillId="0" borderId="0" xfId="0" applyFont="1"/>
    <xf numFmtId="43" fontId="0" fillId="0" borderId="0" xfId="1" applyFont="1" applyBorder="1"/>
    <xf numFmtId="0" fontId="0" fillId="0" borderId="0" xfId="0" applyBorder="1"/>
    <xf numFmtId="0" fontId="0" fillId="0" borderId="0" xfId="0"/>
    <xf numFmtId="43" fontId="2" fillId="0" borderId="0" xfId="1" applyFont="1" applyBorder="1"/>
    <xf numFmtId="9" fontId="2" fillId="0" borderId="0" xfId="2" applyFont="1" applyBorder="1"/>
    <xf numFmtId="0" fontId="0" fillId="0" borderId="0" xfId="0" applyAlignment="1">
      <alignment horizontal="right"/>
    </xf>
    <xf numFmtId="0" fontId="0" fillId="0" borderId="0" xfId="0" applyAlignment="1">
      <alignment horizontal="center" vertical="center"/>
    </xf>
    <xf numFmtId="0" fontId="0" fillId="0" borderId="0" xfId="0" applyFill="1" applyBorder="1"/>
    <xf numFmtId="9" fontId="1" fillId="0" borderId="0" xfId="2" applyFont="1" applyFill="1" applyBorder="1"/>
    <xf numFmtId="49" fontId="0" fillId="0" borderId="0" xfId="0" applyNumberFormat="1" applyAlignment="1">
      <alignment horizontal="left"/>
    </xf>
    <xf numFmtId="0" fontId="0" fillId="0" borderId="0" xfId="0" applyAlignment="1"/>
    <xf numFmtId="0" fontId="0" fillId="0" borderId="0" xfId="0" applyFill="1"/>
    <xf numFmtId="0" fontId="0" fillId="0" borderId="0" xfId="0" applyAlignment="1">
      <alignment horizontal="left"/>
    </xf>
    <xf numFmtId="43" fontId="1" fillId="0" borderId="0" xfId="1" applyFont="1" applyBorder="1"/>
    <xf numFmtId="9" fontId="1" fillId="0" borderId="0" xfId="2" applyFont="1" applyBorder="1"/>
    <xf numFmtId="0" fontId="0" fillId="0" borderId="0" xfId="0" applyAlignment="1"/>
    <xf numFmtId="0" fontId="1" fillId="0" borderId="0" xfId="0" applyFont="1" applyFill="1" applyBorder="1" applyAlignment="1">
      <alignment horizontal="center" vertical="center" wrapText="1"/>
    </xf>
    <xf numFmtId="0" fontId="8" fillId="0" borderId="0" xfId="4" applyFont="1" applyBorder="1"/>
    <xf numFmtId="0" fontId="8"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10" fillId="0" borderId="0" xfId="4" applyFont="1" applyFill="1" applyBorder="1"/>
    <xf numFmtId="0" fontId="11" fillId="0" borderId="0" xfId="0" applyFont="1"/>
    <xf numFmtId="0" fontId="11" fillId="0" borderId="0" xfId="0" applyFont="1" applyAlignment="1">
      <alignment wrapText="1"/>
    </xf>
    <xf numFmtId="0" fontId="6" fillId="0" borderId="0" xfId="0" applyFont="1"/>
    <xf numFmtId="0" fontId="7" fillId="0" borderId="0" xfId="0" applyFont="1"/>
    <xf numFmtId="0" fontId="6" fillId="0" borderId="9" xfId="0" applyFont="1" applyFill="1" applyBorder="1" applyAlignment="1"/>
    <xf numFmtId="0" fontId="9" fillId="0" borderId="12" xfId="0" applyFont="1" applyFill="1" applyBorder="1" applyAlignment="1">
      <alignment horizontal="center" vertical="center" wrapText="1"/>
    </xf>
    <xf numFmtId="0" fontId="12" fillId="0" borderId="0" xfId="0" applyFont="1" applyFill="1" applyBorder="1" applyAlignment="1">
      <alignment vertical="center" wrapText="1"/>
    </xf>
    <xf numFmtId="0" fontId="9" fillId="0" borderId="5" xfId="0" applyFont="1" applyFill="1" applyBorder="1" applyAlignment="1">
      <alignment horizontal="left" vertical="center"/>
    </xf>
    <xf numFmtId="49" fontId="10" fillId="0" borderId="0" xfId="0" applyNumberFormat="1" applyFont="1" applyFill="1" applyBorder="1"/>
    <xf numFmtId="9" fontId="13" fillId="0" borderId="0" xfId="2" applyFont="1"/>
    <xf numFmtId="0" fontId="11" fillId="0" borderId="0" xfId="0" applyFont="1"/>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6" xfId="0" applyFont="1" applyBorder="1"/>
    <xf numFmtId="0" fontId="11" fillId="0" borderId="7" xfId="0" applyFont="1" applyBorder="1"/>
    <xf numFmtId="0" fontId="11" fillId="0" borderId="0" xfId="0" applyFont="1" applyAlignment="1">
      <alignment horizontal="left"/>
    </xf>
    <xf numFmtId="0" fontId="10" fillId="0" borderId="0" xfId="4" applyFont="1" applyFill="1" applyBorder="1" applyAlignment="1">
      <alignment vertical="center"/>
    </xf>
    <xf numFmtId="0" fontId="11" fillId="0" borderId="0" xfId="0" applyFont="1" applyFill="1" applyAlignment="1">
      <alignment wrapText="1"/>
    </xf>
    <xf numFmtId="0" fontId="11" fillId="0" borderId="0" xfId="0" applyFont="1" applyFill="1" applyAlignment="1"/>
    <xf numFmtId="0" fontId="11" fillId="0" borderId="0" xfId="0" applyFont="1" applyAlignment="1"/>
    <xf numFmtId="0" fontId="9" fillId="0" borderId="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6" fillId="0" borderId="0" xfId="0" applyFont="1" applyBorder="1"/>
    <xf numFmtId="0" fontId="1" fillId="0" borderId="0" xfId="0" applyFont="1" applyBorder="1" applyAlignment="1">
      <alignment horizontal="center" vertical="center" wrapText="1"/>
    </xf>
    <xf numFmtId="49" fontId="0" fillId="0" borderId="0" xfId="0" applyNumberFormat="1" applyBorder="1" applyAlignment="1">
      <alignment horizontal="center"/>
    </xf>
    <xf numFmtId="41" fontId="0" fillId="0" borderId="0" xfId="0" applyNumberFormat="1" applyBorder="1" applyAlignment="1">
      <alignment horizontal="right"/>
    </xf>
    <xf numFmtId="0" fontId="0" fillId="0" borderId="0" xfId="0" applyBorder="1" applyAlignment="1">
      <alignment wrapText="1"/>
    </xf>
    <xf numFmtId="0" fontId="0" fillId="0" borderId="0" xfId="0" applyBorder="1" applyAlignment="1">
      <alignment horizontal="left"/>
    </xf>
    <xf numFmtId="0" fontId="1" fillId="0" borderId="0" xfId="0" applyFont="1" applyBorder="1" applyAlignment="1">
      <alignment horizontal="center" vertical="center" wrapText="1"/>
    </xf>
    <xf numFmtId="0" fontId="11" fillId="0" borderId="0" xfId="0" applyFont="1" applyAlignment="1">
      <alignment horizontal="left"/>
    </xf>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horizontal="left" wrapText="1"/>
    </xf>
    <xf numFmtId="0" fontId="0" fillId="0" borderId="0" xfId="0" applyAlignment="1"/>
    <xf numFmtId="0" fontId="11" fillId="0" borderId="0" xfId="0" applyFont="1" applyBorder="1"/>
    <xf numFmtId="0" fontId="14" fillId="0" borderId="7" xfId="0" applyFont="1" applyBorder="1"/>
    <xf numFmtId="0" fontId="9" fillId="0" borderId="0" xfId="4" applyFont="1" applyBorder="1"/>
    <xf numFmtId="0" fontId="11" fillId="0" borderId="0" xfId="0" applyFont="1" applyFill="1" applyAlignment="1">
      <alignment horizontal="left"/>
    </xf>
    <xf numFmtId="9" fontId="11" fillId="0" borderId="0" xfId="2" applyFont="1" applyFill="1" applyAlignment="1">
      <alignment horizontal="left"/>
    </xf>
    <xf numFmtId="9" fontId="11" fillId="0" borderId="0" xfId="0" applyNumberFormat="1" applyFont="1" applyFill="1" applyAlignment="1">
      <alignment horizontal="left"/>
    </xf>
    <xf numFmtId="0" fontId="0" fillId="0" borderId="0" xfId="0" applyAlignment="1">
      <alignment horizontal="left"/>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9" fontId="0" fillId="0" borderId="0" xfId="0" applyNumberFormat="1" applyAlignment="1">
      <alignment horizontal="right"/>
    </xf>
    <xf numFmtId="1" fontId="0" fillId="0" borderId="0" xfId="0" applyNumberFormat="1" applyAlignment="1">
      <alignment horizontal="right"/>
    </xf>
    <xf numFmtId="9" fontId="10" fillId="0" borderId="11" xfId="0" applyNumberFormat="1" applyFont="1" applyFill="1" applyBorder="1"/>
    <xf numFmtId="0" fontId="1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left"/>
    </xf>
    <xf numFmtId="49" fontId="15" fillId="0" borderId="0" xfId="0" applyNumberFormat="1" applyFont="1" applyFill="1" applyAlignment="1">
      <alignment horizontal="left"/>
    </xf>
    <xf numFmtId="0" fontId="10" fillId="0" borderId="0" xfId="4" applyFont="1" applyFill="1" applyBorder="1" applyAlignment="1"/>
    <xf numFmtId="49" fontId="15" fillId="0" borderId="0" xfId="0" applyNumberFormat="1" applyFont="1" applyFill="1" applyBorder="1" applyAlignment="1">
      <alignment horizontal="left"/>
    </xf>
    <xf numFmtId="0" fontId="10" fillId="0" borderId="0" xfId="0" applyFont="1" applyFill="1" applyBorder="1"/>
    <xf numFmtId="0" fontId="9" fillId="0" borderId="0" xfId="4" applyFont="1" applyFill="1" applyBorder="1" applyAlignment="1"/>
    <xf numFmtId="49" fontId="9" fillId="0" borderId="0" xfId="0" applyNumberFormat="1" applyFont="1" applyFill="1" applyBorder="1"/>
    <xf numFmtId="0" fontId="9" fillId="0" borderId="16" xfId="0" applyFont="1" applyFill="1" applyBorder="1" applyAlignment="1">
      <alignment horizontal="center" vertical="center" wrapText="1"/>
    </xf>
    <xf numFmtId="0" fontId="11" fillId="0" borderId="0" xfId="0" applyFont="1" applyFill="1"/>
    <xf numFmtId="49" fontId="9" fillId="0" borderId="5" xfId="0" applyNumberFormat="1" applyFont="1" applyFill="1" applyBorder="1" applyAlignment="1">
      <alignment horizontal="left" vertical="center" wrapText="1"/>
    </xf>
    <xf numFmtId="0" fontId="9" fillId="0" borderId="3" xfId="0" applyNumberFormat="1"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9" fillId="0" borderId="17" xfId="0" applyFont="1" applyBorder="1" applyAlignment="1">
      <alignment horizontal="center" vertical="center" wrapText="1"/>
    </xf>
    <xf numFmtId="0" fontId="9" fillId="0" borderId="18" xfId="0" applyFont="1" applyBorder="1" applyAlignment="1">
      <alignment horizontal="center" wrapText="1"/>
    </xf>
    <xf numFmtId="9" fontId="9" fillId="0" borderId="3" xfId="0" applyNumberFormat="1" applyFont="1" applyFill="1" applyBorder="1"/>
    <xf numFmtId="9" fontId="9" fillId="0" borderId="1" xfId="0" applyNumberFormat="1" applyFont="1" applyFill="1" applyBorder="1"/>
    <xf numFmtId="9" fontId="10" fillId="0" borderId="8" xfId="0" applyNumberFormat="1" applyFont="1" applyFill="1" applyBorder="1"/>
    <xf numFmtId="43" fontId="10" fillId="0" borderId="0" xfId="1" applyFont="1" applyFill="1" applyBorder="1"/>
    <xf numFmtId="164" fontId="0" fillId="0" borderId="0" xfId="2" applyNumberFormat="1" applyFont="1"/>
    <xf numFmtId="1" fontId="0" fillId="0" borderId="0" xfId="0" applyNumberFormat="1"/>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15" fillId="0" borderId="22" xfId="0" applyNumberFormat="1" applyFont="1" applyFill="1" applyBorder="1" applyAlignment="1">
      <alignment horizontal="left"/>
    </xf>
    <xf numFmtId="9" fontId="10" fillId="0" borderId="23" xfId="0" applyNumberFormat="1" applyFont="1" applyFill="1" applyBorder="1"/>
    <xf numFmtId="0" fontId="1" fillId="0" borderId="0" xfId="0" applyFont="1" applyBorder="1" applyAlignment="1">
      <alignment horizontal="center" vertical="center" wrapText="1"/>
    </xf>
    <xf numFmtId="0" fontId="11" fillId="0" borderId="0" xfId="0" applyFont="1" applyAlignment="1">
      <alignment horizontal="left"/>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xf numFmtId="9" fontId="10" fillId="0" borderId="11" xfId="0" applyNumberFormat="1" applyFont="1" applyFill="1" applyBorder="1" applyAlignment="1">
      <alignment horizontal="right"/>
    </xf>
    <xf numFmtId="165" fontId="10" fillId="0" borderId="11" xfId="1" applyNumberFormat="1" applyFont="1" applyFill="1" applyBorder="1"/>
    <xf numFmtId="165" fontId="9" fillId="0" borderId="3" xfId="1" applyNumberFormat="1" applyFont="1" applyFill="1" applyBorder="1"/>
    <xf numFmtId="165" fontId="9" fillId="0" borderId="1" xfId="1" applyNumberFormat="1" applyFont="1" applyFill="1" applyBorder="1"/>
    <xf numFmtId="9" fontId="9" fillId="0" borderId="1" xfId="0" applyNumberFormat="1" applyFont="1" applyFill="1" applyBorder="1" applyAlignment="1">
      <alignment horizontal="right"/>
    </xf>
    <xf numFmtId="9" fontId="9" fillId="0" borderId="3" xfId="0" applyNumberFormat="1" applyFont="1" applyFill="1" applyBorder="1" applyAlignment="1">
      <alignment horizontal="right"/>
    </xf>
    <xf numFmtId="0" fontId="1" fillId="0" borderId="0" xfId="0" applyFont="1" applyBorder="1"/>
    <xf numFmtId="0" fontId="11" fillId="0" borderId="25" xfId="0" applyFont="1" applyBorder="1"/>
    <xf numFmtId="165" fontId="10" fillId="0" borderId="23" xfId="1" applyNumberFormat="1" applyFont="1" applyFill="1" applyBorder="1"/>
    <xf numFmtId="0" fontId="9" fillId="0" borderId="4" xfId="0" applyFont="1" applyFill="1" applyBorder="1" applyAlignment="1">
      <alignment horizontal="left" vertical="center"/>
    </xf>
    <xf numFmtId="0" fontId="9" fillId="0" borderId="5" xfId="0" applyFont="1" applyFill="1" applyBorder="1" applyAlignment="1">
      <alignment horizontal="right" vertical="center" wrapText="1"/>
    </xf>
    <xf numFmtId="165" fontId="9" fillId="0" borderId="26" xfId="1" applyNumberFormat="1" applyFont="1" applyFill="1" applyBorder="1" applyAlignment="1">
      <alignment wrapText="1"/>
    </xf>
    <xf numFmtId="165" fontId="10" fillId="0" borderId="27" xfId="1" applyNumberFormat="1" applyFont="1" applyFill="1" applyBorder="1" applyAlignment="1">
      <alignment wrapText="1"/>
    </xf>
    <xf numFmtId="0" fontId="9" fillId="0" borderId="28" xfId="0" applyFont="1" applyFill="1" applyBorder="1" applyAlignment="1">
      <alignment horizontal="center" vertical="center" wrapText="1"/>
    </xf>
    <xf numFmtId="0" fontId="9" fillId="0" borderId="27" xfId="0" applyFont="1" applyFill="1" applyBorder="1" applyAlignment="1">
      <alignment horizontal="center" vertical="center" wrapText="1"/>
    </xf>
    <xf numFmtId="9" fontId="10" fillId="0" borderId="29" xfId="0" applyNumberFormat="1" applyFont="1" applyFill="1" applyBorder="1"/>
    <xf numFmtId="9" fontId="9" fillId="0" borderId="26" xfId="0" applyNumberFormat="1" applyFont="1" applyFill="1" applyBorder="1"/>
    <xf numFmtId="166" fontId="0" fillId="0" borderId="0" xfId="0" applyNumberFormat="1"/>
    <xf numFmtId="0" fontId="11" fillId="0" borderId="0" xfId="0" applyFont="1" applyFill="1" applyAlignment="1">
      <alignment horizontal="left" wrapText="1"/>
    </xf>
    <xf numFmtId="165" fontId="9" fillId="0" borderId="1" xfId="1" applyNumberFormat="1" applyFont="1" applyFill="1" applyBorder="1" applyAlignment="1">
      <alignment horizontal="right"/>
    </xf>
    <xf numFmtId="164" fontId="9" fillId="0" borderId="1" xfId="0" applyNumberFormat="1" applyFont="1" applyFill="1" applyBorder="1" applyAlignment="1">
      <alignment horizontal="right"/>
    </xf>
    <xf numFmtId="0" fontId="6" fillId="0" borderId="1" xfId="0" applyFont="1" applyBorder="1" applyAlignment="1">
      <alignment horizontal="right"/>
    </xf>
    <xf numFmtId="9" fontId="9" fillId="0" borderId="12" xfId="0" applyNumberFormat="1" applyFont="1" applyFill="1" applyBorder="1" applyAlignment="1">
      <alignment horizontal="right"/>
    </xf>
    <xf numFmtId="0" fontId="11" fillId="0" borderId="0" xfId="0" applyFont="1" applyAlignment="1">
      <alignment horizontal="right"/>
    </xf>
    <xf numFmtId="165" fontId="10" fillId="0" borderId="11" xfId="1" applyNumberFormat="1" applyFont="1" applyFill="1" applyBorder="1" applyAlignment="1">
      <alignment horizontal="right"/>
    </xf>
    <xf numFmtId="164" fontId="10" fillId="0" borderId="11" xfId="0"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19" xfId="1" applyNumberFormat="1" applyFont="1" applyFill="1" applyBorder="1" applyAlignment="1">
      <alignment horizontal="right"/>
    </xf>
    <xf numFmtId="165" fontId="10" fillId="0" borderId="8" xfId="1" applyNumberFormat="1" applyFont="1" applyFill="1" applyBorder="1" applyAlignment="1">
      <alignment horizontal="right"/>
    </xf>
    <xf numFmtId="0" fontId="11" fillId="0" borderId="7" xfId="0" applyFont="1" applyBorder="1" applyAlignment="1">
      <alignment horizontal="right"/>
    </xf>
    <xf numFmtId="165" fontId="10" fillId="0" borderId="6" xfId="1" applyNumberFormat="1" applyFont="1" applyFill="1" applyBorder="1" applyAlignment="1">
      <alignment horizontal="right"/>
    </xf>
    <xf numFmtId="165" fontId="10" fillId="0" borderId="7" xfId="1" applyNumberFormat="1" applyFont="1" applyFill="1" applyBorder="1" applyAlignment="1">
      <alignment horizontal="right"/>
    </xf>
    <xf numFmtId="9" fontId="10" fillId="0" borderId="19" xfId="0" applyNumberFormat="1" applyFont="1" applyFill="1" applyBorder="1" applyAlignment="1">
      <alignment horizontal="right"/>
    </xf>
    <xf numFmtId="9" fontId="10" fillId="0" borderId="8" xfId="0" applyNumberFormat="1" applyFont="1" applyFill="1" applyBorder="1" applyAlignment="1">
      <alignment horizontal="right"/>
    </xf>
    <xf numFmtId="164" fontId="10" fillId="0" borderId="8" xfId="0" applyNumberFormat="1" applyFont="1" applyFill="1" applyBorder="1" applyAlignment="1">
      <alignment horizontal="right"/>
    </xf>
    <xf numFmtId="0" fontId="11" fillId="0" borderId="8" xfId="0" applyFont="1" applyBorder="1" applyAlignment="1">
      <alignment horizontal="right"/>
    </xf>
    <xf numFmtId="165" fontId="9" fillId="0" borderId="4" xfId="1" applyNumberFormat="1" applyFont="1" applyFill="1" applyBorder="1" applyAlignment="1">
      <alignment horizontal="right"/>
    </xf>
    <xf numFmtId="49" fontId="10" fillId="0" borderId="7" xfId="0" applyNumberFormat="1" applyFont="1" applyFill="1" applyBorder="1" applyAlignment="1">
      <alignment horizontal="left"/>
    </xf>
    <xf numFmtId="1" fontId="11" fillId="0" borderId="7" xfId="2" applyNumberFormat="1" applyFont="1" applyFill="1" applyBorder="1" applyAlignment="1">
      <alignment horizontal="left"/>
    </xf>
    <xf numFmtId="1" fontId="11" fillId="0" borderId="7" xfId="2" applyNumberFormat="1" applyFont="1" applyBorder="1" applyAlignment="1">
      <alignment horizontal="left"/>
    </xf>
    <xf numFmtId="49" fontId="10" fillId="0" borderId="7" xfId="0" applyNumberFormat="1" applyFont="1" applyFill="1" applyBorder="1"/>
    <xf numFmtId="165" fontId="10" fillId="0" borderId="11" xfId="1" applyNumberFormat="1" applyFont="1" applyFill="1" applyBorder="1" applyAlignment="1">
      <alignment horizontal="center"/>
    </xf>
    <xf numFmtId="0" fontId="6" fillId="0" borderId="3" xfId="0" applyFont="1" applyBorder="1"/>
    <xf numFmtId="165" fontId="10" fillId="0" borderId="0" xfId="1" applyNumberFormat="1" applyFont="1" applyFill="1" applyBorder="1"/>
    <xf numFmtId="0" fontId="11" fillId="0" borderId="7" xfId="0" applyFont="1" applyFill="1" applyBorder="1"/>
    <xf numFmtId="0" fontId="9" fillId="0" borderId="30" xfId="0" applyFont="1" applyFill="1" applyBorder="1" applyAlignment="1">
      <alignment horizontal="left" vertical="center"/>
    </xf>
    <xf numFmtId="0" fontId="0" fillId="0" borderId="0" xfId="0" applyAlignment="1">
      <alignment wrapText="1"/>
    </xf>
    <xf numFmtId="5" fontId="1" fillId="0" borderId="11" xfId="7" applyNumberFormat="1" applyFont="1" applyBorder="1"/>
    <xf numFmtId="5" fontId="2" fillId="0" borderId="11" xfId="7" applyNumberFormat="1" applyFont="1" applyBorder="1"/>
    <xf numFmtId="9" fontId="9" fillId="0" borderId="12" xfId="0" applyNumberFormat="1" applyFont="1" applyFill="1" applyBorder="1"/>
    <xf numFmtId="5" fontId="6" fillId="0" borderId="12" xfId="7" applyNumberFormat="1" applyFont="1" applyBorder="1"/>
    <xf numFmtId="5" fontId="11" fillId="0" borderId="11" xfId="7" applyNumberFormat="1" applyFont="1" applyBorder="1"/>
    <xf numFmtId="5" fontId="1" fillId="0" borderId="3" xfId="7" applyNumberFormat="1" applyFont="1" applyBorder="1"/>
    <xf numFmtId="5" fontId="1" fillId="0" borderId="23" xfId="7" applyNumberFormat="1" applyFont="1" applyBorder="1"/>
    <xf numFmtId="5" fontId="2" fillId="0" borderId="23" xfId="7" applyNumberFormat="1" applyFont="1" applyBorder="1"/>
    <xf numFmtId="0" fontId="7" fillId="0" borderId="0" xfId="0" applyFont="1" applyFill="1"/>
    <xf numFmtId="165" fontId="9" fillId="0" borderId="3" xfId="1" applyNumberFormat="1" applyFont="1" applyFill="1" applyBorder="1" applyAlignment="1">
      <alignment horizontal="right"/>
    </xf>
    <xf numFmtId="0" fontId="9" fillId="0" borderId="3" xfId="0" applyFont="1" applyFill="1" applyBorder="1" applyAlignment="1">
      <alignment horizontal="right" vertical="center" wrapText="1"/>
    </xf>
    <xf numFmtId="165" fontId="10" fillId="0" borderId="9" xfId="1" applyNumberFormat="1" applyFont="1" applyFill="1" applyBorder="1" applyAlignment="1">
      <alignment horizontal="right"/>
    </xf>
    <xf numFmtId="0" fontId="11" fillId="0" borderId="11" xfId="0" applyFont="1" applyBorder="1" applyAlignment="1">
      <alignment horizontal="right"/>
    </xf>
    <xf numFmtId="165" fontId="9" fillId="0" borderId="18" xfId="1" applyNumberFormat="1" applyFont="1" applyFill="1" applyBorder="1" applyAlignment="1">
      <alignment horizontal="right"/>
    </xf>
    <xf numFmtId="5" fontId="6" fillId="0" borderId="2" xfId="7" applyNumberFormat="1" applyFont="1" applyBorder="1"/>
    <xf numFmtId="5" fontId="6" fillId="0" borderId="8" xfId="7" applyNumberFormat="1" applyFont="1" applyBorder="1"/>
    <xf numFmtId="0" fontId="11" fillId="0" borderId="0" xfId="0" applyFont="1" applyAlignment="1">
      <alignment horizontal="left"/>
    </xf>
    <xf numFmtId="49" fontId="16" fillId="0" borderId="0" xfId="0" applyNumberFormat="1" applyFont="1" applyFill="1" applyBorder="1" applyAlignment="1"/>
    <xf numFmtId="165" fontId="10" fillId="0" borderId="22" xfId="1" applyNumberFormat="1" applyFont="1" applyFill="1" applyBorder="1"/>
    <xf numFmtId="165" fontId="10" fillId="0" borderId="31" xfId="1" applyNumberFormat="1" applyFont="1" applyFill="1" applyBorder="1" applyAlignment="1">
      <alignment wrapText="1"/>
    </xf>
    <xf numFmtId="9" fontId="10" fillId="0" borderId="32" xfId="0" applyNumberFormat="1" applyFont="1" applyFill="1" applyBorder="1"/>
    <xf numFmtId="0" fontId="10" fillId="0" borderId="22" xfId="0" applyFont="1" applyFill="1" applyBorder="1"/>
    <xf numFmtId="0" fontId="11" fillId="0" borderId="0" xfId="0" applyFont="1" applyAlignment="1">
      <alignment horizontal="left"/>
    </xf>
    <xf numFmtId="0" fontId="11" fillId="0" borderId="0" xfId="0" applyFont="1" applyAlignment="1">
      <alignment horizontal="left" wrapText="1"/>
    </xf>
    <xf numFmtId="9" fontId="10" fillId="0" borderId="0" xfId="0" applyNumberFormat="1" applyFont="1" applyBorder="1" applyAlignment="1">
      <alignment horizontal="right"/>
    </xf>
    <xf numFmtId="9" fontId="10"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xf numFmtId="49" fontId="0" fillId="0" borderId="0" xfId="0" applyNumberFormat="1" applyAlignment="1">
      <alignment vertical="top"/>
    </xf>
    <xf numFmtId="165" fontId="9" fillId="0" borderId="10" xfId="1" applyNumberFormat="1" applyFont="1" applyFill="1" applyBorder="1" applyAlignment="1">
      <alignment horizontal="right"/>
    </xf>
    <xf numFmtId="165" fontId="9" fillId="0" borderId="12" xfId="1" applyNumberFormat="1" applyFont="1" applyFill="1" applyBorder="1" applyAlignment="1">
      <alignment horizontal="right"/>
    </xf>
    <xf numFmtId="165" fontId="9" fillId="0" borderId="5" xfId="1" applyNumberFormat="1" applyFont="1" applyFill="1" applyBorder="1" applyAlignment="1">
      <alignment horizontal="right"/>
    </xf>
    <xf numFmtId="165" fontId="10" fillId="0" borderId="23" xfId="1" applyNumberFormat="1" applyFont="1" applyFill="1" applyBorder="1" applyAlignment="1">
      <alignment horizontal="right"/>
    </xf>
    <xf numFmtId="9" fontId="10" fillId="0" borderId="24" xfId="0" applyNumberFormat="1" applyFont="1" applyFill="1" applyBorder="1" applyAlignment="1">
      <alignment horizontal="right"/>
    </xf>
    <xf numFmtId="49" fontId="10" fillId="0" borderId="0" xfId="0" applyNumberFormat="1" applyFont="1" applyFill="1" applyBorder="1" applyAlignment="1">
      <alignment horizontal="left"/>
    </xf>
    <xf numFmtId="49" fontId="10" fillId="0" borderId="0" xfId="0" applyNumberFormat="1" applyFont="1" applyFill="1" applyAlignment="1">
      <alignment horizontal="left"/>
    </xf>
    <xf numFmtId="9" fontId="9" fillId="0" borderId="2" xfId="0" applyNumberFormat="1" applyFont="1" applyFill="1" applyBorder="1"/>
    <xf numFmtId="0" fontId="6" fillId="0" borderId="9" xfId="0" applyFont="1" applyFill="1" applyBorder="1" applyAlignment="1">
      <alignment horizontal="center" wrapText="1"/>
    </xf>
    <xf numFmtId="0" fontId="6" fillId="0" borderId="6" xfId="0" applyFont="1" applyBorder="1" applyAlignment="1">
      <alignment horizontal="center"/>
    </xf>
    <xf numFmtId="0" fontId="6" fillId="0" borderId="6" xfId="0" applyFont="1" applyBorder="1" applyAlignment="1">
      <alignment horizontal="center" vertical="center"/>
    </xf>
    <xf numFmtId="0" fontId="6" fillId="0" borderId="9" xfId="0" applyFont="1" applyFill="1" applyBorder="1" applyAlignment="1">
      <alignment horizontal="center" vertical="center" wrapText="1"/>
    </xf>
    <xf numFmtId="0" fontId="9" fillId="0" borderId="2" xfId="0" applyFont="1" applyFill="1" applyBorder="1" applyAlignment="1">
      <alignment horizontal="center" wrapText="1"/>
    </xf>
    <xf numFmtId="0" fontId="7" fillId="0" borderId="0" xfId="0" applyFont="1" applyProtection="1">
      <protection locked="0"/>
    </xf>
    <xf numFmtId="0" fontId="0" fillId="0" borderId="0" xfId="0" applyProtection="1">
      <protection locked="0"/>
    </xf>
    <xf numFmtId="0" fontId="1" fillId="0" borderId="0" xfId="0" applyFont="1" applyProtection="1">
      <protection locked="0"/>
    </xf>
    <xf numFmtId="0" fontId="3" fillId="0" borderId="0" xfId="3" applyProtection="1">
      <protection locked="0"/>
    </xf>
    <xf numFmtId="0" fontId="3" fillId="0" borderId="0" xfId="3" applyFill="1" applyProtection="1">
      <protection locked="0"/>
    </xf>
    <xf numFmtId="0" fontId="3" fillId="0" borderId="0" xfId="3" quotePrefix="1" applyProtection="1">
      <protection locked="0"/>
    </xf>
    <xf numFmtId="0" fontId="0" fillId="0" borderId="0" xfId="0" applyFill="1" applyProtection="1">
      <protection locked="0"/>
    </xf>
    <xf numFmtId="0" fontId="0" fillId="0" borderId="0" xfId="0" applyFont="1" applyProtection="1">
      <protection locked="0"/>
    </xf>
    <xf numFmtId="0" fontId="8" fillId="0" borderId="0" xfId="4" applyFont="1" applyFill="1" applyBorder="1" applyAlignment="1" applyProtection="1">
      <protection locked="0"/>
    </xf>
    <xf numFmtId="0" fontId="10" fillId="0" borderId="0" xfId="4" applyFont="1" applyFill="1" applyBorder="1" applyAlignment="1" applyProtection="1">
      <protection locked="0"/>
    </xf>
    <xf numFmtId="0" fontId="10" fillId="0" borderId="0" xfId="4" applyFont="1" applyFill="1" applyBorder="1" applyProtection="1">
      <protection locked="0"/>
    </xf>
    <xf numFmtId="0" fontId="8" fillId="0" borderId="0" xfId="4" applyFont="1" applyBorder="1" applyProtection="1">
      <protection locked="0"/>
    </xf>
    <xf numFmtId="0" fontId="0" fillId="0" borderId="0" xfId="0" applyBorder="1" applyProtection="1">
      <protection locked="0"/>
    </xf>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Fill="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protection locked="0"/>
    </xf>
    <xf numFmtId="165" fontId="9" fillId="0" borderId="1" xfId="1" applyNumberFormat="1" applyFont="1" applyFill="1" applyBorder="1" applyProtection="1">
      <protection locked="0"/>
    </xf>
    <xf numFmtId="9" fontId="9" fillId="0" borderId="3" xfId="0" applyNumberFormat="1" applyFont="1" applyFill="1" applyBorder="1" applyProtection="1">
      <protection locked="0"/>
    </xf>
    <xf numFmtId="49" fontId="10" fillId="0" borderId="0" xfId="0" applyNumberFormat="1" applyFont="1" applyFill="1" applyBorder="1" applyProtection="1">
      <protection locked="0"/>
    </xf>
    <xf numFmtId="165" fontId="10" fillId="0" borderId="11" xfId="1" applyNumberFormat="1" applyFont="1" applyFill="1" applyBorder="1" applyProtection="1">
      <protection locked="0"/>
    </xf>
    <xf numFmtId="9" fontId="10" fillId="0" borderId="11" xfId="0" applyNumberFormat="1" applyFont="1" applyFill="1" applyBorder="1" applyProtection="1">
      <protection locked="0"/>
    </xf>
    <xf numFmtId="9" fontId="13" fillId="0" borderId="0" xfId="2" applyFont="1" applyProtection="1">
      <protection locked="0"/>
    </xf>
    <xf numFmtId="43" fontId="1" fillId="0" borderId="0" xfId="1" applyFont="1" applyBorder="1" applyProtection="1">
      <protection locked="0"/>
    </xf>
    <xf numFmtId="9" fontId="1" fillId="0" borderId="0" xfId="2" applyFont="1" applyBorder="1" applyProtection="1">
      <protection locked="0"/>
    </xf>
    <xf numFmtId="43" fontId="2" fillId="0" borderId="0" xfId="1" applyFont="1" applyBorder="1" applyProtection="1">
      <protection locked="0"/>
    </xf>
    <xf numFmtId="9" fontId="2" fillId="0" borderId="0" xfId="2" applyFont="1" applyBorder="1" applyProtection="1">
      <protection locked="0"/>
    </xf>
    <xf numFmtId="43" fontId="0" fillId="0" borderId="0" xfId="1" applyFont="1" applyBorder="1" applyProtection="1">
      <protection locked="0"/>
    </xf>
    <xf numFmtId="41" fontId="0" fillId="0" borderId="0" xfId="0" applyNumberFormat="1" applyBorder="1" applyAlignment="1" applyProtection="1">
      <alignment horizontal="right"/>
      <protection locked="0"/>
    </xf>
    <xf numFmtId="0" fontId="11"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49" fontId="15" fillId="0" borderId="0" xfId="0" applyNumberFormat="1" applyFont="1" applyFill="1" applyAlignment="1" applyProtection="1">
      <alignment horizontal="left"/>
      <protection locked="0"/>
    </xf>
    <xf numFmtId="0" fontId="11" fillId="0" borderId="0" xfId="0" applyFont="1" applyAlignment="1" applyProtection="1">
      <alignment wrapText="1"/>
      <protection locked="0"/>
    </xf>
    <xf numFmtId="49" fontId="15" fillId="0" borderId="22" xfId="0" applyNumberFormat="1" applyFont="1" applyFill="1" applyBorder="1" applyAlignment="1" applyProtection="1">
      <alignment horizontal="left"/>
      <protection locked="0"/>
    </xf>
    <xf numFmtId="165" fontId="10" fillId="0" borderId="24" xfId="1" applyNumberFormat="1" applyFont="1" applyFill="1" applyBorder="1" applyProtection="1">
      <protection locked="0"/>
    </xf>
    <xf numFmtId="9" fontId="10" fillId="0" borderId="23" xfId="0" applyNumberFormat="1" applyFont="1" applyFill="1" applyBorder="1" applyProtection="1">
      <protection locked="0"/>
    </xf>
    <xf numFmtId="49" fontId="9" fillId="0" borderId="0" xfId="0" applyNumberFormat="1" applyFont="1" applyFill="1" applyBorder="1" applyAlignment="1" applyProtection="1">
      <alignment horizontal="left"/>
      <protection locked="0"/>
    </xf>
    <xf numFmtId="9" fontId="10" fillId="0" borderId="8" xfId="0" applyNumberFormat="1" applyFont="1" applyFill="1" applyBorder="1" applyProtection="1">
      <protection locked="0"/>
    </xf>
    <xf numFmtId="0" fontId="11" fillId="0" borderId="0" xfId="0" applyFont="1" applyAlignment="1" applyProtection="1">
      <protection locked="0"/>
    </xf>
    <xf numFmtId="0" fontId="6" fillId="0" borderId="5" xfId="0" applyFont="1" applyBorder="1" applyProtection="1"/>
    <xf numFmtId="167" fontId="6" fillId="0" borderId="3" xfId="1" applyNumberFormat="1" applyFont="1" applyBorder="1" applyProtection="1"/>
    <xf numFmtId="9" fontId="9" fillId="0" borderId="3" xfId="0" applyNumberFormat="1" applyFont="1" applyFill="1" applyBorder="1" applyProtection="1"/>
    <xf numFmtId="0" fontId="11" fillId="0" borderId="0" xfId="0" applyFont="1" applyBorder="1" applyProtection="1"/>
    <xf numFmtId="167" fontId="11" fillId="0" borderId="11" xfId="1" applyNumberFormat="1" applyFont="1" applyBorder="1" applyProtection="1"/>
    <xf numFmtId="9" fontId="10" fillId="0" borderId="11" xfId="0" applyNumberFormat="1" applyFont="1" applyFill="1" applyBorder="1" applyProtection="1"/>
    <xf numFmtId="165" fontId="10" fillId="0" borderId="0" xfId="0" applyNumberFormat="1" applyFont="1" applyFill="1" applyBorder="1"/>
    <xf numFmtId="165" fontId="6" fillId="0" borderId="4" xfId="1" applyNumberFormat="1" applyFont="1" applyFill="1" applyBorder="1" applyAlignment="1">
      <alignment horizontal="right"/>
    </xf>
    <xf numFmtId="9" fontId="10" fillId="0" borderId="0" xfId="2" applyFont="1" applyFill="1" applyBorder="1"/>
    <xf numFmtId="167" fontId="6" fillId="0" borderId="1" xfId="1" applyNumberFormat="1" applyFont="1" applyBorder="1" applyAlignment="1">
      <alignment horizontal="right"/>
    </xf>
    <xf numFmtId="9" fontId="0" fillId="0" borderId="0" xfId="2" applyFont="1" applyProtection="1">
      <protection locked="0"/>
    </xf>
    <xf numFmtId="0" fontId="1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center"/>
    </xf>
    <xf numFmtId="49" fontId="0" fillId="0" borderId="0" xfId="0" applyNumberFormat="1" applyBorder="1" applyAlignment="1">
      <alignment horizontal="center" vertical="center"/>
    </xf>
    <xf numFmtId="0" fontId="0" fillId="0" borderId="0" xfId="0" applyBorder="1" applyAlignment="1">
      <alignment horizontal="center" vertical="center"/>
    </xf>
  </cellXfs>
  <cellStyles count="8">
    <cellStyle name="Comma" xfId="1" builtinId="3"/>
    <cellStyle name="Comma 2" xfId="5"/>
    <cellStyle name="Currency" xfId="7" builtinId="4"/>
    <cellStyle name="Currency 2" xfId="6"/>
    <cellStyle name="Heading 1" xfId="4" builtinId="16"/>
    <cellStyle name="Hyperlink" xfId="3" builtinId="8"/>
    <cellStyle name="Normal" xfId="0" builtinId="0"/>
    <cellStyle name="Percent" xfId="2" builtinId="5"/>
  </cellStyles>
  <dxfs count="220">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right"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ck">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ck">
          <color indexed="64"/>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scheme val="none"/>
      </font>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indexed="65"/>
        </patternFill>
      </fill>
      <border outline="0">
        <right style="thin">
          <color indexed="64"/>
        </right>
      </border>
    </dxf>
    <dxf>
      <font>
        <strike val="0"/>
        <outline val="0"/>
        <shadow val="0"/>
        <u val="none"/>
        <vertAlign val="baseline"/>
        <sz val="12"/>
        <color auto="1"/>
        <name val="Calibri"/>
        <scheme val="minor"/>
      </font>
    </dxf>
    <dxf>
      <border>
        <bottom style="thin">
          <color indexed="64"/>
        </bottom>
      </border>
    </dxf>
    <dxf>
      <font>
        <b/>
        <strike val="0"/>
        <outline val="0"/>
        <shadow val="0"/>
        <u val="none"/>
        <vertAlign val="baseline"/>
        <sz val="12"/>
        <color auto="1"/>
        <name val="Calibri"/>
        <scheme val="minor"/>
      </font>
      <alignment horizontal="center" vertical="center" textRotation="0" wrapText="0" indent="0" justifyLastLine="0" shrinkToFit="0" readingOrder="0"/>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protection locked="1" hidden="0"/>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protection locked="1" hidden="0"/>
    </dxf>
    <dxf>
      <font>
        <strike val="0"/>
        <outline val="0"/>
        <shadow val="0"/>
        <u val="none"/>
        <vertAlign val="baseline"/>
        <sz val="12"/>
        <name val="Calibri"/>
        <scheme val="minor"/>
      </font>
      <border diagonalUp="0" diagonalDown="0">
        <left/>
        <right/>
        <top style="thin">
          <color auto="1"/>
        </top>
        <bottom style="thin">
          <color auto="1"/>
        </bottom>
      </border>
      <protection locked="1" hidden="0"/>
    </dxf>
    <dxf>
      <font>
        <strike val="0"/>
        <outline val="0"/>
        <shadow val="0"/>
        <u val="none"/>
        <vertAlign val="baseline"/>
        <sz val="12"/>
        <name val="Calibri"/>
        <scheme val="minor"/>
      </font>
      <numFmt numFmtId="167" formatCode="_-* #,##0_-;\-* #,##0_-;_-* &quot;-&quot;??_-;_-@_-"/>
      <border diagonalUp="0" diagonalDown="0">
        <left/>
        <right/>
        <top style="thin">
          <color auto="1"/>
        </top>
        <bottom style="thin">
          <color auto="1"/>
        </bottom>
      </border>
      <protection locked="1" hidden="0"/>
    </dxf>
    <dxf>
      <font>
        <strike val="0"/>
        <outline val="0"/>
        <shadow val="0"/>
        <u val="none"/>
        <vertAlign val="baseline"/>
        <sz val="12"/>
        <name val="Calibri"/>
        <scheme val="minor"/>
      </font>
      <numFmt numFmtId="167" formatCode="_-* #,##0_-;\-* #,##0_-;_-* &quot;-&quot;??_-;_-@_-"/>
      <border diagonalUp="0" diagonalDown="0">
        <left/>
        <right style="thin">
          <color indexed="64"/>
        </right>
        <top style="thin">
          <color auto="1"/>
        </top>
        <bottom style="thin">
          <color auto="1"/>
        </bottom>
      </border>
      <protection locked="1" hidden="0"/>
    </dxf>
    <dxf>
      <font>
        <strike val="0"/>
        <outline val="0"/>
        <shadow val="0"/>
        <u val="none"/>
        <vertAlign val="baseline"/>
        <sz val="12"/>
        <name val="Calibri"/>
        <scheme val="minor"/>
      </font>
      <numFmt numFmtId="167" formatCode="_-* #,##0_-;\-* #,##0_-;_-* &quot;-&quot;??_-;_-@_-"/>
      <border diagonalUp="0" diagonalDown="0">
        <left style="thin">
          <color indexed="64"/>
        </left>
        <right style="thin">
          <color indexed="64"/>
        </right>
        <top style="thin">
          <color auto="1"/>
        </top>
        <bottom style="thin">
          <color auto="1"/>
        </bottom>
      </border>
      <protection locked="1" hidden="0"/>
    </dxf>
    <dxf>
      <font>
        <strike val="0"/>
        <outline val="0"/>
        <shadow val="0"/>
        <u val="none"/>
        <vertAlign val="baseline"/>
        <sz val="12"/>
        <name val="Calibri"/>
        <scheme val="minor"/>
      </font>
      <border diagonalUp="0" diagonalDown="0">
        <left/>
        <right style="thin">
          <color indexed="64"/>
        </right>
        <top style="thin">
          <color auto="1"/>
        </top>
        <bottom style="thin">
          <color auto="1"/>
        </bottom>
      </border>
      <protection locked="1" hidden="0"/>
    </dxf>
    <dxf>
      <font>
        <strike val="0"/>
        <outline val="0"/>
        <shadow val="0"/>
        <u val="none"/>
        <vertAlign val="baseline"/>
        <sz val="12"/>
        <name val="Calibri"/>
        <scheme val="minor"/>
      </font>
      <numFmt numFmtId="167" formatCode="_-* #,##0_-;\-* #,##0_-;_-* &quot;-&quot;??_-;_-@_-"/>
      <border diagonalUp="0" diagonalDown="0">
        <left style="thin">
          <color indexed="64"/>
        </left>
        <right/>
        <top style="thin">
          <color auto="1"/>
        </top>
        <bottom style="thin">
          <color auto="1"/>
        </bottom>
      </border>
      <protection locked="1" hidden="0"/>
    </dxf>
    <dxf>
      <font>
        <strike val="0"/>
        <outline val="0"/>
        <shadow val="0"/>
        <u val="none"/>
        <vertAlign val="baseline"/>
        <sz val="12"/>
        <name val="Calibri"/>
        <scheme val="minor"/>
      </font>
      <border diagonalUp="0" diagonalDown="0">
        <left/>
        <right style="thin">
          <color indexed="64"/>
        </right>
        <top style="thin">
          <color auto="1"/>
        </top>
        <bottom style="thin">
          <color auto="1"/>
        </bottom>
      </border>
      <protection locked="1" hidden="0"/>
    </dxf>
    <dxf>
      <font>
        <strike val="0"/>
        <outline val="0"/>
        <shadow val="0"/>
        <u val="none"/>
        <vertAlign val="baseline"/>
        <sz val="12"/>
        <name val="Calibri"/>
        <scheme val="minor"/>
      </font>
      <numFmt numFmtId="167" formatCode="_-* #,##0_-;\-* #,##0_-;_-* &quot;-&quot;??_-;_-@_-"/>
      <border diagonalUp="0" diagonalDown="0">
        <left style="thin">
          <color indexed="64"/>
        </left>
        <right/>
        <top style="thin">
          <color auto="1"/>
        </top>
        <bottom style="thin">
          <color auto="1"/>
        </bottom>
      </border>
      <protection locked="1" hidden="0"/>
    </dxf>
    <dxf>
      <font>
        <strike val="0"/>
        <outline val="0"/>
        <shadow val="0"/>
        <u val="none"/>
        <vertAlign val="baseline"/>
        <sz val="12"/>
        <name val="Calibri"/>
        <scheme val="minor"/>
      </font>
      <border diagonalUp="0" diagonalDown="0">
        <left/>
        <right style="thin">
          <color indexed="64"/>
        </right>
        <top/>
        <bottom/>
      </border>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protection locked="1"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protection locked="0" hidden="0"/>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fill>
        <patternFill patternType="none">
          <fgColor indexed="64"/>
          <bgColor auto="1"/>
        </patternFill>
      </fill>
      <border>
        <right style="thin">
          <color indexed="64"/>
        </right>
      </border>
      <protection locked="0" hidden="0"/>
    </dxf>
    <dxf>
      <font>
        <strike val="0"/>
        <outline val="0"/>
        <shadow val="0"/>
        <u val="none"/>
        <vertAlign val="baseline"/>
        <sz val="12"/>
        <color auto="1"/>
        <name val="Calibri"/>
        <scheme val="minor"/>
      </font>
      <numFmt numFmtId="168" formatCode="_-[$£-809]* #,##0_-;\-[$£-809]* #,##0_-;_-[$£-809]* &quot;-&quot;??_-;_-@_-"/>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numFmt numFmtId="30" formatCode="@"/>
      <fill>
        <patternFill patternType="none">
          <fgColor indexed="64"/>
          <bgColor auto="1"/>
        </patternFill>
      </fill>
      <border>
        <right style="thin">
          <color indexed="64"/>
        </right>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114300</xdr:rowOff>
    </xdr:from>
    <xdr:to>
      <xdr:col>20</xdr:col>
      <xdr:colOff>110781</xdr:colOff>
      <xdr:row>30</xdr:row>
      <xdr:rowOff>27902</xdr:rowOff>
    </xdr:to>
    <xdr:pic>
      <xdr:nvPicPr>
        <xdr:cNvPr id="47" name="Picture 46"/>
        <xdr:cNvPicPr>
          <a:picLocks noChangeAspect="1"/>
        </xdr:cNvPicPr>
      </xdr:nvPicPr>
      <xdr:blipFill>
        <a:blip xmlns:r="http://schemas.openxmlformats.org/officeDocument/2006/relationships" r:embed="rId1"/>
        <a:stretch>
          <a:fillRect/>
        </a:stretch>
      </xdr:blipFill>
      <xdr:spPr>
        <a:xfrm>
          <a:off x="152400" y="304800"/>
          <a:ext cx="12150381" cy="5438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1</xdr:row>
      <xdr:rowOff>42334</xdr:rowOff>
    </xdr:from>
    <xdr:to>
      <xdr:col>7</xdr:col>
      <xdr:colOff>298574</xdr:colOff>
      <xdr:row>21</xdr:row>
      <xdr:rowOff>24716</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0" y="232834"/>
          <a:ext cx="6309907" cy="38347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133350</xdr:rowOff>
    </xdr:from>
    <xdr:to>
      <xdr:col>15</xdr:col>
      <xdr:colOff>237476</xdr:colOff>
      <xdr:row>28</xdr:row>
      <xdr:rowOff>70165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323850"/>
          <a:ext cx="10095851" cy="51088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8629\AppData\Local\Microsoft\Windows\INetCache\Content.Outlook\VFWMQ5WR\210630%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IR"/>
      <sheetName val="RDIR(STATS)"/>
      <sheetName val="RDIR(VSTATS)"/>
      <sheetName val="APPEAL"/>
      <sheetName val="APPEAL(STATS)"/>
      <sheetName val="Sheet1"/>
      <sheetName val="DATA"/>
      <sheetName val="DATAYRS"/>
    </sheetNames>
    <sheetDataSet>
      <sheetData sheetId="0"/>
      <sheetData sheetId="1"/>
      <sheetData sheetId="2"/>
      <sheetData sheetId="3"/>
      <sheetData sheetId="4"/>
      <sheetData sheetId="5"/>
      <sheetData sheetId="6">
        <row r="2">
          <cell r="D2" t="str">
            <v>BSG</v>
          </cell>
          <cell r="K2">
            <v>43459</v>
          </cell>
          <cell r="W2" t="str">
            <v>Allowed</v>
          </cell>
        </row>
        <row r="3">
          <cell r="D3" t="str">
            <v>BSF</v>
          </cell>
          <cell r="K3">
            <v>43460</v>
          </cell>
          <cell r="W3" t="str">
            <v>Partially Allowed</v>
          </cell>
        </row>
        <row r="4">
          <cell r="D4" t="str">
            <v>FSP</v>
          </cell>
          <cell r="K4">
            <v>43466</v>
          </cell>
          <cell r="W4" t="str">
            <v>Disallowed</v>
          </cell>
        </row>
        <row r="5">
          <cell r="D5" t="str">
            <v>YCG</v>
          </cell>
          <cell r="K5">
            <v>43467</v>
          </cell>
          <cell r="W5" t="str">
            <v>Withdrawn</v>
          </cell>
        </row>
        <row r="6">
          <cell r="D6" t="str">
            <v>JSP</v>
          </cell>
          <cell r="K6">
            <v>43574</v>
          </cell>
          <cell r="W6" t="str">
            <v>Invalid</v>
          </cell>
        </row>
        <row r="7">
          <cell r="D7" t="str">
            <v>CWHA</v>
          </cell>
          <cell r="K7">
            <v>43577</v>
          </cell>
        </row>
        <row r="8">
          <cell r="D8" t="str">
            <v>SCP</v>
          </cell>
          <cell r="K8">
            <v>43591</v>
          </cell>
        </row>
        <row r="9">
          <cell r="K9">
            <v>43612</v>
          </cell>
        </row>
        <row r="10">
          <cell r="K10">
            <v>43798</v>
          </cell>
        </row>
        <row r="11">
          <cell r="K11">
            <v>43824</v>
          </cell>
        </row>
        <row r="12">
          <cell r="K12">
            <v>43825</v>
          </cell>
        </row>
        <row r="13">
          <cell r="K13">
            <v>43831</v>
          </cell>
        </row>
        <row r="14">
          <cell r="K14">
            <v>43832</v>
          </cell>
        </row>
        <row r="15">
          <cell r="K15">
            <v>43931</v>
          </cell>
        </row>
        <row r="16">
          <cell r="K16">
            <v>43934</v>
          </cell>
        </row>
        <row r="17">
          <cell r="K17">
            <v>43959</v>
          </cell>
        </row>
        <row r="18">
          <cell r="K18">
            <v>43976</v>
          </cell>
        </row>
        <row r="19">
          <cell r="K19">
            <v>44162</v>
          </cell>
        </row>
        <row r="20">
          <cell r="K20">
            <v>44190</v>
          </cell>
        </row>
        <row r="21">
          <cell r="K21">
            <v>44193</v>
          </cell>
        </row>
        <row r="22">
          <cell r="K22">
            <v>44197</v>
          </cell>
        </row>
        <row r="23">
          <cell r="K23">
            <v>44200</v>
          </cell>
        </row>
        <row r="24">
          <cell r="K24">
            <v>44288</v>
          </cell>
        </row>
        <row r="25">
          <cell r="K25">
            <v>44291</v>
          </cell>
        </row>
        <row r="26">
          <cell r="K26">
            <v>44319</v>
          </cell>
        </row>
        <row r="27">
          <cell r="K27">
            <v>44347</v>
          </cell>
        </row>
        <row r="28">
          <cell r="K28">
            <v>44526</v>
          </cell>
        </row>
        <row r="29">
          <cell r="K29">
            <v>44557</v>
          </cell>
        </row>
        <row r="30">
          <cell r="K30">
            <v>44558</v>
          </cell>
        </row>
        <row r="31">
          <cell r="K31">
            <v>44564</v>
          </cell>
        </row>
        <row r="32">
          <cell r="K32">
            <v>44565</v>
          </cell>
        </row>
      </sheetData>
      <sheetData sheetId="7"/>
    </sheetDataSet>
  </externalBook>
</externalLink>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4" unboundColumnsRight="1">
    <queryTableFields count="9">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11" dataBound="0" tableColumnId="1"/>
      <queryTableField id="6" name="Unknown [note 3]" tableColumnId="20"/>
      <queryTableField id="7" name="% Online" tableColumnId="21"/>
      <queryTableField id="12" dataBound="0" tableColumnId="2"/>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1" displayName="Table1" ref="A4:J39" totalsRowShown="0" headerRowDxfId="219" dataDxfId="217" headerRowBorderDxfId="218" tableBorderDxfId="216">
  <autoFilter ref="A4:J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215"/>
    <tableColumn id="2" name="Total applications received _x000a_[note 5]" dataDxfId="214" dataCellStyle="Comma"/>
    <tableColumn id="3" name="Percentage of total applications received " dataDxfId="213"/>
    <tableColumn id="4" name="Total applications processed  [note 6]" dataDxfId="212" dataCellStyle="Comma"/>
    <tableColumn id="5" name="Authorised applications [note 7]" dataDxfId="211" dataCellStyle="Comma"/>
    <tableColumn id="6" name="Denied Applications [note 8]" dataDxfId="210" dataCellStyle="Comma"/>
    <tableColumn id="7" name="Withdrawn applications [note 9]" dataDxfId="209" dataCellStyle="Comma"/>
    <tableColumn id="8" name="Percentage of processed applications authorised" dataDxfId="208"/>
    <tableColumn id="9" name="Percentage of processed applications denied" dataDxfId="207"/>
    <tableColumn id="10" name="Percentage of processed applications withdrawn " dataDxfId="206"/>
  </tableColumns>
  <tableStyleInfo name="TableStyleLight1" showFirstColumn="0" showLastColumn="0" showRowStripes="1" showColumnStripes="0"/>
</table>
</file>

<file path=xl/tables/table10.xml><?xml version="1.0" encoding="utf-8"?>
<table xmlns="http://schemas.openxmlformats.org/spreadsheetml/2006/main" id="11" name="Table112" displayName="Table112" ref="A4:M36" totalsRowShown="0" headerRowDxfId="88" dataDxfId="86" headerRowBorderDxfId="87" tableBorderDxfId="85">
  <tableColumns count="13">
    <tableColumn id="1" name="Processing Time by Month _x000a_[note 1][note 2]" dataDxfId="84"/>
    <tableColumn id="2" name="Total applications excluding _x000a_re-determinations_x000a_" dataDxfId="83" dataCellStyle="Comma"/>
    <tableColumn id="3" name="Applications processed in the same day" dataDxfId="82" dataCellStyle="Comma"/>
    <tableColumn id="4" name="Applications processed in _x000a_1-5 days" dataDxfId="81" dataCellStyle="Comma"/>
    <tableColumn id="5" name="Applications processed in _x000a_6-10 days" dataDxfId="80" dataCellStyle="Comma"/>
    <tableColumn id="6" name="Applications processed in _x000a_11-15 days" dataDxfId="79" dataCellStyle="Comma"/>
    <tableColumn id="7" name="Applications processed in _x000a_16-20 days" dataDxfId="78" dataCellStyle="Comma"/>
    <tableColumn id="8" name="Applications processed in _x000a_21 or more days" dataDxfId="77" dataCellStyle="Comma"/>
    <tableColumn id="9" name="Applications processed within 10 days" dataDxfId="76" dataCellStyle="Comma"/>
    <tableColumn id="11" name="Applications processed within 15 days" dataDxfId="75" dataCellStyle="Comma"/>
    <tableColumn id="12" name="Applications processed in _x000a_16 days or more _x000a_[note 3]" dataDxfId="74" dataCellStyle="Comma"/>
    <tableColumn id="16" name="Percentage of applications processed within 10 days _x000a_[note 3]" dataDxfId="73" dataCellStyle="Comma"/>
    <tableColumn id="13" name="Average Processing Time _x000a_[note 4]" dataDxfId="72"/>
  </tableColumns>
  <tableStyleInfo name="TableStyleLight1" showFirstColumn="0" showLastColumn="0" showRowStripes="1" showColumnStripes="0"/>
</table>
</file>

<file path=xl/tables/table11.xml><?xml version="1.0" encoding="utf-8"?>
<table xmlns="http://schemas.openxmlformats.org/spreadsheetml/2006/main" id="13" name="Table16914" displayName="Table16914" ref="A4:J40" totalsRowShown="0" headerRowDxfId="71" dataDxfId="69" headerRowBorderDxfId="70" tableBorderDxfId="68">
  <autoFilter ref="A4:J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1][note 2][note 3]" dataDxfId="67"/>
    <tableColumn id="2" name="Total value of payments_x000a_[note 4]" dataDxfId="66"/>
    <tableColumn id="3" name="Value of Best Start Grant - Pregnancy and Baby Payments [note 4]" dataDxfId="65"/>
    <tableColumn id="4" name="Value of Best Start Grant - Early Learning Payments [note 4]" dataDxfId="64"/>
    <tableColumn id="5" name="Value of Best Start Grant - School Age Payments [note 4]" dataDxfId="63"/>
    <tableColumn id="6" name="Value of Best Start Foods Payments _x000a_[note 4][note 5]" dataDxfId="62"/>
    <tableColumn id="7" name="Percentage of Best Start Grant - Pregnancy and Baby Payments" dataDxfId="61"/>
    <tableColumn id="8" name="Percentage of Best Start Grant - Early Learning Payments " dataDxfId="60"/>
    <tableColumn id="9" name="Percentage of Best Start Grant - School Age Payments" dataDxfId="59"/>
    <tableColumn id="10" name="Percentage of Best Start Foods Payments" dataDxfId="58"/>
  </tableColumns>
  <tableStyleInfo name="TableStyleLight1" showFirstColumn="0" showLastColumn="0" showRowStripes="1" showColumnStripes="0"/>
</table>
</file>

<file path=xl/tables/table12.xml><?xml version="1.0" encoding="utf-8"?>
<table xmlns="http://schemas.openxmlformats.org/spreadsheetml/2006/main" id="14" name="Table1691415" displayName="Table1691415" ref="A4:J39" totalsRowShown="0" headerRowDxfId="57" dataDxfId="55" headerRowBorderDxfId="56" tableBorderDxfId="54">
  <autoFilter ref="A4:J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ayment Month _x000a_[note 1][note 2][note 3][note 4][note 5]" dataDxfId="53"/>
    <tableColumn id="2" name="Total value of payments_x000a_[note 6]" dataDxfId="52" dataCellStyle="Currency"/>
    <tableColumn id="3" name="Value of Best Start Grant - Pregnancy and Baby Payments [note 6]" dataDxfId="51" dataCellStyle="Currency"/>
    <tableColumn id="4" name="Value of Best Start Grant - Early Learning Payments [note 6]" dataDxfId="50" dataCellStyle="Currency"/>
    <tableColumn id="5" name="Value of Best Start Grant - School Age Payments [note 6]" dataDxfId="49" dataCellStyle="Currency"/>
    <tableColumn id="6" name="Value of Best Start Foods Payments _x000a_[note 6][note 7]" dataDxfId="48" dataCellStyle="Currency"/>
    <tableColumn id="7" name="Percentage of Best Start Grant - Pregnancy and Baby Payments" dataDxfId="47"/>
    <tableColumn id="8" name="Percentage of Best Start Grant - Early Learning Payments " dataDxfId="46"/>
    <tableColumn id="9" name="Percentage of Best Start Grant - School Age Payments" dataDxfId="45"/>
    <tableColumn id="10" name="Percentage of Best Start Foods Payments" dataDxfId="44"/>
  </tableColumns>
  <tableStyleInfo name="TableStyleLight1" showFirstColumn="0" showLastColumn="0" showRowStripes="1" showColumnStripes="0"/>
</table>
</file>

<file path=xl/tables/table13.xml><?xml version="1.0" encoding="utf-8"?>
<table xmlns="http://schemas.openxmlformats.org/spreadsheetml/2006/main" id="15" name="Table169141516" displayName="Table169141516" ref="A4:M35" totalsRowShown="0" headerRowDxfId="43" dataDxfId="41" headerRowBorderDxfId="42" tableBorderDxfId="40">
  <autoFilter ref="A4:M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nth" dataDxfId="39"/>
    <tableColumn id="2" name="Number of _x000a_re-determinations _x000a_received _x000a_[note 1]" dataDxfId="38" dataCellStyle="Comma"/>
    <tableColumn id="3" name="Re-determinations as a percentage of decisions processed" dataDxfId="37"/>
    <tableColumn id="4" name="Re-determinations completed _x000a_[note 2]" dataDxfId="36" dataCellStyle="Comma"/>
    <tableColumn id="5" name="Completed _x000a_re-determinations _x000a_which are disallowed _x000a_[note 2]" dataDxfId="35" dataCellStyle="Comma"/>
    <tableColumn id="6" name="Completed _x000a_re-determinations _x000a_which are allowed or partially allowed _x000a_[note 2]" dataDxfId="34" dataCellStyle="Comma"/>
    <tableColumn id="7" name="Completed _x000a_re-determinations _x000a_which are withdrawn _x000a_[note 2]" dataDxfId="33" dataCellStyle="Comma"/>
    <tableColumn id="8" name="Percentage of _x000a_re-determinations_x000a_disallowed _x000a_[note 2]" dataDxfId="32"/>
    <tableColumn id="9" name="Percentage of _x000a_re-determinations _x000a_allowed or partially allowed _x000a_[note 2]" dataDxfId="31"/>
    <tableColumn id="10" name="Percentage of _x000a_re-determinations _x000a_withdrawn _x000a_[note 2]" dataDxfId="30"/>
    <tableColumn id="11" name="Re-determinations _x000a_pending by end of the month" dataDxfId="29" dataCellStyle="Comma"/>
    <tableColumn id="12" name="Average number of days to respond _x000a_[note 2][note 3][note4]" dataDxfId="28" dataCellStyle="Comma"/>
    <tableColumn id="13" name="Re-determinations _x000a_closed within 16 working days _x000a_[note 1][note 3]" dataDxfId="27"/>
  </tableColumns>
  <tableStyleInfo name="TableStyleLight1" showFirstColumn="0" showLastColumn="0" showRowStripes="1" showColumnStripes="0"/>
</table>
</file>

<file path=xl/tables/table14.xml><?xml version="1.0" encoding="utf-8"?>
<table xmlns="http://schemas.openxmlformats.org/spreadsheetml/2006/main" id="19" name="Table16914151620" displayName="Table16914151620" ref="A4:G35" totalsRowShown="0" headerRowDxfId="26" dataDxfId="24" headerRowBorderDxfId="25" tableBorderDxfId="23">
  <autoFilter ref="A4:G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dataDxfId="22"/>
    <tableColumn id="2" name="Number of appeals received _x000a_[note 1]" dataDxfId="21" dataCellStyle="Comma"/>
    <tableColumn id="3" name="Appeal hearings taking place _x000a_[note 1][note 2]" dataDxfId="20" dataCellStyle="Comma"/>
    <tableColumn id="4" name="Appeals upheld [note 1][note 2][note 3]" dataDxfId="19" dataCellStyle="Comma"/>
    <tableColumn id="5" name="Appeals not upheld_x000a_[note 1][note 2][note 3]" dataDxfId="18" dataCellStyle="Comma"/>
    <tableColumn id="6" name="Percentage of appeals upheld_x000a_[note 1][note 2][note 3]" dataDxfId="17"/>
    <tableColumn id="7" name="Percentage of appeals not upheld_x000a_[note 1][note 2][note 3]" dataDxfId="16"/>
  </tableColumns>
  <tableStyleInfo name="TableStyleLight1" showFirstColumn="0" showLastColumn="0" showRowStripes="1" showColumnStripes="0"/>
</table>
</file>

<file path=xl/tables/table15.xml><?xml version="1.0" encoding="utf-8"?>
<table xmlns="http://schemas.openxmlformats.org/spreadsheetml/2006/main" id="20" name="Table16914151621" displayName="Table16914151621" ref="A4:L27" totalsRowShown="0" headerRowDxfId="15" dataDxfId="13" headerRowBorderDxfId="14" tableBorderDxfId="12">
  <autoFilter ref="A4:L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dataDxfId="11"/>
    <tableColumn id="2" name="Number of _x000a_review requests_x000a_received _x000a_[note 1]" dataDxfId="10" dataCellStyle="Comma"/>
    <tableColumn id="3" name="Reviews as a percentage of decisions processed" dataDxfId="9"/>
    <tableColumn id="4" name="Reviews completed _x000a_[note 2]" dataDxfId="8" dataCellStyle="Comma"/>
    <tableColumn id="5" name="Completed _x000a_reviews_x000a_which are disallowed _x000a_[note 2]" dataDxfId="7" dataCellStyle="Comma"/>
    <tableColumn id="6" name="Completed _x000a_reviews_x000a_which are allowed or partially allowed _x000a_[note 2]" dataDxfId="6" dataCellStyle="Comma"/>
    <tableColumn id="7" name="Completed _x000a_reviews_x000a_which are withdrawn _x000a_[note 2]" dataDxfId="5" dataCellStyle="Comma"/>
    <tableColumn id="8" name="Percentage of _x000a_reviews_x000a_disallowed _x000a_[note 2]" dataDxfId="4"/>
    <tableColumn id="9" name="Percentage of _x000a_reviews_x000a_allowed or partially allowed _x000a_[note 2]" dataDxfId="3"/>
    <tableColumn id="10" name="Percentage of _x000a_reviews_x000a_withdrawn _x000a_[note 2]" dataDxfId="2"/>
    <tableColumn id="11" name="Review requests_x000a_pending by end of the month" dataDxfId="1" dataCellStyle="Comma"/>
    <tableColumn id="12" name="Average number of days to respond _x000a_[note 2][note 3][note 4]" dataDxfId="0" dataCellStyle="Comma"/>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6:K12" totalsRowShown="0" headerRowDxfId="205" dataDxfId="203" headerRowBorderDxfId="204" tableBorderDxfId="202">
  <autoFilter ref="A6:K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ponent included in application _x000a_[note 5][note 6][note 7][note 8]_x000a_[note 9]" dataDxfId="201"/>
    <tableColumn id="2" name="Total applications received _x000a_" dataDxfId="200" dataCellStyle="Comma">
      <calculatedColumnFormula>VLOOKUP($A7,'Table 2 - Full data'!$A$2:$K$31,2,FALSE)</calculatedColumnFormula>
    </tableColumn>
    <tableColumn id="3" name="Percentage of total applications received " dataDxfId="199">
      <calculatedColumnFormula>VLOOKUP($A7,'Table 2 - Full data'!$A$2:$K$31,3,FALSE)</calculatedColumnFormula>
    </tableColumn>
    <tableColumn id="4" name="Total applications processed _x000a_[note 10]" dataDxfId="198" dataCellStyle="Comma">
      <calculatedColumnFormula>VLOOKUP($A7,'Table 2 - Full data'!$A$2:$K$31,4,FALSE)</calculatedColumnFormula>
    </tableColumn>
    <tableColumn id="5" name="% of total applications processed" dataDxfId="197">
      <calculatedColumnFormula>VLOOKUP($A7,'Table 2 - Full data'!$A$2:$K$31,5,FALSE)</calculatedColumnFormula>
    </tableColumn>
    <tableColumn id="6" name="Authorised applications _x000a_[note 11]" dataDxfId="196" dataCellStyle="Comma">
      <calculatedColumnFormula>VLOOKUP($A7,'Table 2 - Full data'!$A$2:$K$31,6,FALSE)</calculatedColumnFormula>
    </tableColumn>
    <tableColumn id="7" name="Denied Applications [note 12]" dataDxfId="195" dataCellStyle="Comma">
      <calculatedColumnFormula>VLOOKUP($A7,'Table 2 - Full data'!$A$2:$K$31,7,FALSE)</calculatedColumnFormula>
    </tableColumn>
    <tableColumn id="8" name="Withdrawn applications _x000a_[note 13]" dataDxfId="194" dataCellStyle="Comma">
      <calculatedColumnFormula>VLOOKUP($A7,'Table 2 - Full data'!$A$2:$K$31,8,FALSE)</calculatedColumnFormula>
    </tableColumn>
    <tableColumn id="9" name="Percentage of processed applications authorised" dataDxfId="193">
      <calculatedColumnFormula>VLOOKUP($A7,'Table 2 - Full data'!$A$2:$K$31,9,FALSE)</calculatedColumnFormula>
    </tableColumn>
    <tableColumn id="10" name="Percentage of processed applications denied" dataDxfId="192">
      <calculatedColumnFormula>VLOOKUP($A7,'Table 2 - Full data'!$A$2:$K$31,10,FALSE)</calculatedColumnFormula>
    </tableColumn>
    <tableColumn id="11" name="Percentage of processed applications withdrawn " dataDxfId="191">
      <calculatedColumnFormula>VLOOKUP($A7,'Table 2 - Full data'!$A$2:$K$31,11,FALSE)</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7" name="Table245__28" displayName="Table245__28" ref="A4:I35" tableType="queryTable" totalsRowShown="0" headerRowDxfId="190" dataDxfId="188" headerRowBorderDxfId="189">
  <tableColumns count="9">
    <tableColumn id="15" uniqueName="15" name="Applications Received by month _x000a_[note 1]" queryTableFieldId="1" dataDxfId="187"/>
    <tableColumn id="16" uniqueName="16" name="Total" queryTableFieldId="2" dataDxfId="186" dataCellStyle="Comma"/>
    <tableColumn id="17" uniqueName="17" name="Online Applications " queryTableFieldId="3" dataDxfId="185" dataCellStyle="Comma"/>
    <tableColumn id="18" uniqueName="18" name="Paper Applications _x000a_[note 2]" queryTableFieldId="4" dataDxfId="184" dataCellStyle="Comma"/>
    <tableColumn id="19" uniqueName="19" name="Phone Applications _x000a_[note 2][note 3]" queryTableFieldId="5" dataDxfId="183" dataCellStyle="Comma"/>
    <tableColumn id="1" uniqueName="1" name="Combined Phone and Paper Applications _x000a_[note 2]" queryTableFieldId="11" dataDxfId="182" dataCellStyle="Comma"/>
    <tableColumn id="20" uniqueName="20" name="Unknown Channel _x000a_[note 4]" queryTableFieldId="6" dataDxfId="181" dataCellStyle="Comma"/>
    <tableColumn id="21" uniqueName="21" name="Percentage of Online Applications " queryTableFieldId="7" dataDxfId="180"/>
    <tableColumn id="2" uniqueName="2" name="Percentage of Paper and Phone Applications" queryTableFieldId="12" dataDxfId="179" dataCellStyle="Comma"/>
  </tableColumns>
  <tableStyleInfo name="TableStyleLight1" showFirstColumn="0" showLastColumn="0" showRowStripes="1" showColumnStripes="0"/>
</table>
</file>

<file path=xl/tables/table4.xml><?xml version="1.0" encoding="utf-8"?>
<table xmlns="http://schemas.openxmlformats.org/spreadsheetml/2006/main" id="4" name="Table25" displayName="Table25" ref="A6:J19" totalsRowShown="0" headerRowDxfId="178" dataDxfId="176" headerRowBorderDxfId="177" tableBorderDxfId="175">
  <autoFilter ref="A6:J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1][note 2]" dataDxfId="174"/>
    <tableColumn id="2" name="Total applications received _x000a_[note 3]_x000a_" dataDxfId="173" dataCellStyle="Comma">
      <calculatedColumnFormula>VLOOKUP($A7, 'Table 4 - Full data'!$A$2:$J$66,2,FALSE)</calculatedColumnFormula>
    </tableColumn>
    <tableColumn id="3" name="Percentage of total applications received " dataDxfId="172" dataCellStyle="Percent">
      <calculatedColumnFormula>VLOOKUP($A7, 'Table 4 - Full data'!$A$2:$J$66,3,FALSE)</calculatedColumnFormula>
    </tableColumn>
    <tableColumn id="4" name="Total applications processed " dataDxfId="171" dataCellStyle="Comma">
      <calculatedColumnFormula>VLOOKUP($A7, 'Table 4 - Full data'!$A$2:$J$66,4,FALSE)</calculatedColumnFormula>
    </tableColumn>
    <tableColumn id="6" name="Authorised applications [note 4]" dataDxfId="170" dataCellStyle="Comma">
      <calculatedColumnFormula>VLOOKUP($A7, 'Table 4 - Full data'!$A$2:$J$66,5,FALSE)</calculatedColumnFormula>
    </tableColumn>
    <tableColumn id="7" name="Denied Applications [note 5]" dataDxfId="169" dataCellStyle="Comma">
      <calculatedColumnFormula>VLOOKUP($A7, 'Table 4 - Full data'!$A$2:$J$66,6,FALSE)</calculatedColumnFormula>
    </tableColumn>
    <tableColumn id="8" name="Withdrawn applications [note 6]" dataDxfId="168" dataCellStyle="Comma">
      <calculatedColumnFormula>VLOOKUP($A7, 'Table 4 - Full data'!$A$2:$J$66,7,FALSE)</calculatedColumnFormula>
    </tableColumn>
    <tableColumn id="9" name="Percentage of processed applications authorised" dataDxfId="167" dataCellStyle="Percent">
      <calculatedColumnFormula>VLOOKUP($A7, 'Table 4 - Full data'!$A$2:$J$66,8,FALSE)</calculatedColumnFormula>
    </tableColumn>
    <tableColumn id="10" name="Percentage of processed applications denied" dataDxfId="166" dataCellStyle="Percent">
      <calculatedColumnFormula>VLOOKUP($A7, 'Table 4 - Full data'!$A$2:$J$66,9,FALSE)</calculatedColumnFormula>
    </tableColumn>
    <tableColumn id="11" name="Percentage of processed applications withdrawn " dataDxfId="165" dataCellStyle="Percent">
      <calculatedColumnFormula>VLOOKUP($A7, 'Table 4 - Full data'!$A$2:$J$66,10,FALSE)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5" name="Table16" displayName="Table16" ref="A6:J42" totalsRowShown="0" headerRowDxfId="164" dataDxfId="162" headerRowBorderDxfId="163" tableBorderDxfId="161">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5][note 6][note 7]" dataDxfId="160"/>
    <tableColumn id="2" name="Total applications received _x000a_[note 8]" dataDxfId="159" dataCellStyle="Comma">
      <calculatedColumnFormula>VLOOKUP($A7,'Table 5 - Full data'!$A$2:$J$1181,2,FALSE)</calculatedColumnFormula>
    </tableColumn>
    <tableColumn id="3" name="Percentage of total applications received " dataDxfId="158">
      <calculatedColumnFormula>VLOOKUP($A7,'Table 5 - Full data'!$A$2:$J$181,3,FALSE)</calculatedColumnFormula>
    </tableColumn>
    <tableColumn id="4" name="Total applications processed " dataDxfId="157" dataCellStyle="Comma">
      <calculatedColumnFormula>VLOOKUP($A7,'Table 5 - Full data'!$A$2:$J$181,4,FALSE)</calculatedColumnFormula>
    </tableColumn>
    <tableColumn id="5" name="Authorised applications [note 9]" dataDxfId="156" dataCellStyle="Comma">
      <calculatedColumnFormula>VLOOKUP($A7,'Table 5 - Full data'!$A$2:$J$181,5,FALSE)</calculatedColumnFormula>
    </tableColumn>
    <tableColumn id="6" name="Denied Applications [note 10]" dataDxfId="155" dataCellStyle="Comma">
      <calculatedColumnFormula>VLOOKUP($A7,'Table 5 - Full data'!$A$2:$J$181,6,FALSE)</calculatedColumnFormula>
    </tableColumn>
    <tableColumn id="7" name="Withdrawn applications [note 11]" dataDxfId="154" dataCellStyle="Comma">
      <calculatedColumnFormula>VLOOKUP($A7,'Table 5 - Full data'!$A$2:$J$181,7,FALSE)</calculatedColumnFormula>
    </tableColumn>
    <tableColumn id="8" name="Percentage of processed applications authorised" dataDxfId="153">
      <calculatedColumnFormula>VLOOKUP($A7,'Table 5 - Full data'!$A$2:$J$181,8,FALSE)</calculatedColumnFormula>
    </tableColumn>
    <tableColumn id="9" name="Percentage of processed applications denied" dataDxfId="152">
      <calculatedColumnFormula>VLOOKUP($A7,'Table 5 - Full data'!$A$2:$J$181,9,FALSE)</calculatedColumnFormula>
    </tableColumn>
    <tableColumn id="10" name="Percentage of processed applications withdrawn " dataDxfId="151">
      <calculatedColumnFormula>VLOOKUP($A7,'Table 5 - Full data'!$A$2:$J$181,10,FALSE)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8" name="Table169" displayName="Table169" ref="A6:M42" totalsRowShown="0" headerRowDxfId="150" dataDxfId="148" headerRowBorderDxfId="149" tableBorderDxfId="147">
  <autoFilter ref="A6:M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ocal Authority _x000a_[note 5][note 6][note 7]" dataDxfId="146"/>
    <tableColumn id="2" name="Total applications received _x000a_[note 8]" dataDxfId="145" dataCellStyle="Comma">
      <calculatedColumnFormula>VLOOKUP($A7, 'Table 6 - Full data'!$A$2:$M$181,2,FALSE)</calculatedColumnFormula>
    </tableColumn>
    <tableColumn id="3" name="Percentage of total applications received " dataDxfId="144" dataCellStyle="Percent">
      <calculatedColumnFormula>VLOOKUP($A7, 'Table 6 - Full data'!$A$2:$M$181,3,FALSE)</calculatedColumnFormula>
    </tableColumn>
    <tableColumn id="4" name="Applications for Best Start Grant - Pregnancy and Baby Payment _x000a_[note 9][note 10]" dataDxfId="143" dataCellStyle="Comma">
      <calculatedColumnFormula>VLOOKUP($A7, 'Table 6 - Full data'!$A$2:$M$181,4,FALSE)</calculatedColumnFormula>
    </tableColumn>
    <tableColumn id="5" name="Applications for Best Start Grant - Early Learning Payment _x000a_[note 9][note 11]" dataDxfId="142" dataCellStyle="Comma">
      <calculatedColumnFormula>VLOOKUP($A7, 'Table 6 - Full data'!$A$2:$M$181,5,FALSE)</calculatedColumnFormula>
    </tableColumn>
    <tableColumn id="6" name="Applications for Best Start grant - School Age Payment _x000a_[note 9][note 11]" dataDxfId="141" dataCellStyle="Comma">
      <calculatedColumnFormula>VLOOKUP($A7, 'Table 6 - Full data'!$A$2:$M$181,6,FALSE)</calculatedColumnFormula>
    </tableColumn>
    <tableColumn id="7" name="Applications for Best Start Foods _x000a_[note 9][note 11]" dataDxfId="140" dataCellStyle="Comma">
      <calculatedColumnFormula>VLOOKUP($A7, 'Table 6 - Full data'!$A$2:$M$181,7,FALSE)</calculatedColumnFormula>
    </tableColumn>
    <tableColumn id="8" name="Applications for Unknown application _x000a_[note 9][note 12]" dataDxfId="139" dataCellStyle="Comma">
      <calculatedColumnFormula>VLOOKUP($A7, 'Table 6 - Full data'!$A$2:$M$181,8,FALSE)</calculatedColumnFormula>
    </tableColumn>
    <tableColumn id="9" name="Percentage of applications for Best Start Grant - Pregnancy and Baby Payment [note 9][note 10]" dataDxfId="138" dataCellStyle="Percent">
      <calculatedColumnFormula>VLOOKUP($A7, 'Table 6 - Full data'!$A$2:$M$181,9,FALSE)</calculatedColumnFormula>
    </tableColumn>
    <tableColumn id="10" name="Percentage of applications for Best Start Grant - Early Learning Payment _x000a_[note 9][note 11]" dataDxfId="137" dataCellStyle="Percent">
      <calculatedColumnFormula>VLOOKUP($A7, 'Table 6 - Full data'!$A$2:$M$181,10,FALSE)</calculatedColumnFormula>
    </tableColumn>
    <tableColumn id="11" name="Percentage of applications for Best Start Grant - School Age Payment _x000a_[note 9][note 11]" dataDxfId="136" dataCellStyle="Percent">
      <calculatedColumnFormula>VLOOKUP($A7, 'Table 6 - Full data'!$A$2:$M$181,11,FALSE)</calculatedColumnFormula>
    </tableColumn>
    <tableColumn id="12" name="Percentage of applications for Best Start Foods_x000a_ [note 9][note 11]" dataDxfId="135" dataCellStyle="Percent">
      <calculatedColumnFormula>VLOOKUP($A7, 'Table 6 - Full data'!$A$2:$M$181,12,FALSE)</calculatedColumnFormula>
    </tableColumn>
    <tableColumn id="15" name="Percentage of applications for Unknown application [note 9][note 12]" dataDxfId="134" dataCellStyle="Percent">
      <calculatedColumnFormula>VLOOKUP($A7, 'Table 6 - Full data'!$A$2:$M$181,13,FALSE)</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9" name="Table110" displayName="Table110" ref="A6:J24" totalsRowShown="0" headerRowDxfId="133" dataDxfId="131" headerRowBorderDxfId="132" tableBorderDxfId="130">
  <autoFilter ref="A6:J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ealth Board_x000a_[note 5][note 6][note 7]" dataDxfId="129"/>
    <tableColumn id="2" name="Total applications received _x000a_[note 8]" dataDxfId="128" dataCellStyle="Comma">
      <calculatedColumnFormula>VLOOKUP($A7, 'Table 7 - Full data'!$A$2:$J$91,2,FALSE)</calculatedColumnFormula>
    </tableColumn>
    <tableColumn id="3" name="Percentage of total applications received " dataDxfId="127" dataCellStyle="Percent">
      <calculatedColumnFormula>VLOOKUP($A7,'Table 7 - Full data'!$A$2:$J$91,3,FALSE)</calculatedColumnFormula>
    </tableColumn>
    <tableColumn id="4" name="Total applications processed " dataDxfId="126" dataCellStyle="Comma">
      <calculatedColumnFormula>VLOOKUP($A7,'Table 7 - Full data'!$A$2:$J$91,4,FALSE)</calculatedColumnFormula>
    </tableColumn>
    <tableColumn id="5" name="Authorised applications [note 9]" dataDxfId="125" dataCellStyle="Comma">
      <calculatedColumnFormula>VLOOKUP($A7,'Table 7 - Full data'!$A$2:$J$91,5,FALSE)</calculatedColumnFormula>
    </tableColumn>
    <tableColumn id="6" name="Denied Applications [note 10]" dataDxfId="124" dataCellStyle="Comma">
      <calculatedColumnFormula>VLOOKUP($A7,'Table 7 - Full data'!$A$2:$J$91,6,FALSE)</calculatedColumnFormula>
    </tableColumn>
    <tableColumn id="7" name="Withdrawn applications [note 11]" dataDxfId="123" dataCellStyle="Comma">
      <calculatedColumnFormula>VLOOKUP($A7,'Table 7 - Full data'!$A$2:$J$91,7,FALSE)</calculatedColumnFormula>
    </tableColumn>
    <tableColumn id="8" name="Percentage of processed applications authorised" dataDxfId="122" dataCellStyle="Percent">
      <calculatedColumnFormula>VLOOKUP($A7,'Table 7 - Full data'!$A$2:$J$91,8,FALSE)</calculatedColumnFormula>
    </tableColumn>
    <tableColumn id="9" name="Percentage of processed applications denied" dataDxfId="121" dataCellStyle="Percent">
      <calculatedColumnFormula>VLOOKUP($A7,'Table 7 - Full data'!$A$2:$J$91,9,FALSE)</calculatedColumnFormula>
    </tableColumn>
    <tableColumn id="10" name="Percentage of processed applications withdrawn " dataDxfId="120" dataCellStyle="Percent">
      <calculatedColumnFormula>VLOOKUP($A7,'Table 7 - Full data'!$A$2:$J$91,10,FALSE)</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10" name="Table16911" displayName="Table16911" ref="A6:M24" totalsRowShown="0" headerRowDxfId="119" dataDxfId="117" headerRowBorderDxfId="118" tableBorderDxfId="116">
  <autoFilter ref="A6:M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ealth Board_x000a_[note 5][note 6][note 7]" dataDxfId="115"/>
    <tableColumn id="2" name="Total applications received _x000a_[note 8]" dataDxfId="114" dataCellStyle="Comma">
      <calculatedColumnFormula>VLOOKUP($A7, 'Table 8 - Full data'!$A$2:$M$91,2,FALSE)</calculatedColumnFormula>
    </tableColumn>
    <tableColumn id="3" name="Percentage of total applications received " dataDxfId="113" dataCellStyle="Percent">
      <calculatedColumnFormula>VLOOKUP($A7, 'Table 8 - Full data'!$A$2:$M$91,3,FALSE)</calculatedColumnFormula>
    </tableColumn>
    <tableColumn id="4" name="Applications for Best Start Grant - Pregnancy and Baby Payment _x000a_[note 9][note 10]" dataDxfId="112" dataCellStyle="Comma">
      <calculatedColumnFormula>VLOOKUP($A7, 'Table 8 - Full data'!$A$2:$M$91,4,FALSE)</calculatedColumnFormula>
    </tableColumn>
    <tableColumn id="5" name="Applications for Best Start Grant - Early Learning Payment _x000a_[note 9][note 11]" dataDxfId="111" dataCellStyle="Comma">
      <calculatedColumnFormula>VLOOKUP($A7, 'Table 8 - Full data'!$A$2:$M$91,5,FALSE)</calculatedColumnFormula>
    </tableColumn>
    <tableColumn id="6" name="Applications for Best Start grant - School Age Payment _x000a_[note 9][note 11]" dataDxfId="110" dataCellStyle="Comma">
      <calculatedColumnFormula>VLOOKUP($A7, 'Table 8 - Full data'!$A$2:$M$91,6,FALSE)</calculatedColumnFormula>
    </tableColumn>
    <tableColumn id="7" name="Applications for Best Start Foods _x000a_[note 9][note 11]" dataDxfId="109" dataCellStyle="Comma">
      <calculatedColumnFormula>VLOOKUP($A7, 'Table 8 - Full data'!$A$2:$M$91,7,FALSE)</calculatedColumnFormula>
    </tableColumn>
    <tableColumn id="8" name="Applications for Unknown application _x000a_[note 9][note 12]" dataDxfId="108" dataCellStyle="Comma">
      <calculatedColumnFormula>VLOOKUP($A7, 'Table 8 - Full data'!$A$2:$M$91,8,FALSE)</calculatedColumnFormula>
    </tableColumn>
    <tableColumn id="9" name="Percentage of applications for Best Start Grant - Pregnancy and Baby Payment _x000a_[note 9][note 10]" dataDxfId="107" dataCellStyle="Percent">
      <calculatedColumnFormula>VLOOKUP($A7, 'Table 8 - Full data'!$A$2:$M$91,9,FALSE)</calculatedColumnFormula>
    </tableColumn>
    <tableColumn id="10" name="Percentage of applications for Best Start Grant - Early Learning Payment _x000a_[note 9][note 11]" dataDxfId="106" dataCellStyle="Percent">
      <calculatedColumnFormula>VLOOKUP($A7, 'Table 8 - Full data'!$A$2:$M$91,10,FALSE)</calculatedColumnFormula>
    </tableColumn>
    <tableColumn id="11" name="Percentage of applications for Best Start Grant - School Age Payment _x000a_[note 9][note 11]" dataDxfId="105" dataCellStyle="Percent">
      <calculatedColumnFormula>VLOOKUP($A7, 'Table 8 - Full data'!$A$2:$M$91,11,FALSE)</calculatedColumnFormula>
    </tableColumn>
    <tableColumn id="12" name="Percentage of applications for Best Start Foods _x000a_[note 9][note 11]" dataDxfId="104" dataCellStyle="Percent">
      <calculatedColumnFormula>VLOOKUP($A7, 'Table 8 - Full data'!$A$2:$M$91,12,FALSE)</calculatedColumnFormula>
    </tableColumn>
    <tableColumn id="15" name="Percentage of applications for Unknown application [note 9][note 12]" dataDxfId="103" dataCellStyle="Percent">
      <calculatedColumnFormula>VLOOKUP($A7, 'Table 8 - Full data'!$A$2:$M$91,13,FALSE)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2" name="Table113" displayName="Table113" ref="A6:J10" totalsRowShown="0" headerRowDxfId="102" dataDxfId="100" headerRowBorderDxfId="101" tableBorderDxfId="99">
  <autoFilter ref="A6: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Type of Birth _x000a_[note 5][note 6]" dataDxfId="98"/>
    <tableColumn id="2" name="Total applications received _x000a_[note 7]" dataDxfId="97">
      <calculatedColumnFormula>VLOOKUP($A7, 'Table 9 Full Data'!$A$2:$J$21,2,FALSE)</calculatedColumnFormula>
    </tableColumn>
    <tableColumn id="3" name="Percentage of total pregnancy and baby applications received " dataDxfId="96">
      <calculatedColumnFormula>VLOOKUP($A7, 'Table 9 Full Data'!$A$2:$J$21,3,FALSE)</calculatedColumnFormula>
    </tableColumn>
    <tableColumn id="4" name="Total applications processed" dataDxfId="95" dataCellStyle="Comma">
      <calculatedColumnFormula>VLOOKUP($A7, 'Table 9 Full Data'!$A$2:$J$21,4,FALSE)</calculatedColumnFormula>
    </tableColumn>
    <tableColumn id="5" name="Authorised applications _x000a_[note 8]" dataDxfId="94" dataCellStyle="Comma">
      <calculatedColumnFormula>VLOOKUP($A7, 'Table 9 Full Data'!$A$2:$J$21,5,FALSE)</calculatedColumnFormula>
    </tableColumn>
    <tableColumn id="6" name="Denied Applications [note 8]" dataDxfId="93" dataCellStyle="Comma">
      <calculatedColumnFormula>VLOOKUP($A7, 'Table 9 Full Data'!$A$2:$J$21,6,FALSE)</calculatedColumnFormula>
    </tableColumn>
    <tableColumn id="7" name="Withdrawn applications" dataDxfId="92" dataCellStyle="Comma">
      <calculatedColumnFormula>VLOOKUP($A7, 'Table 9 Full Data'!$A$2:$J$21,7,FALSE)</calculatedColumnFormula>
    </tableColumn>
    <tableColumn id="8" name="Percentage of processed applications authorised" dataDxfId="91">
      <calculatedColumnFormula>VLOOKUP($A7, 'Table 9 Full Data'!$A$2:$J$21,8,FALSE)</calculatedColumnFormula>
    </tableColumn>
    <tableColumn id="9" name="Percentage of processed applications denied" dataDxfId="90">
      <calculatedColumnFormula>VLOOKUP($A7, 'Table 9 Full Data'!$A$2:$J$21,9,FALSE)</calculatedColumnFormula>
    </tableColumn>
    <tableColumn id="10" name="Percentage of processed applications withdrawn " dataDxfId="89">
      <calculatedColumnFormula>VLOOKUP($A7, 'Table 9 Full Data'!$A$2:$J$21,10,FALSE)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0"/>
  <sheetViews>
    <sheetView tabSelected="1" zoomScale="75" zoomScaleNormal="75" workbookViewId="0">
      <selection activeCell="A2" sqref="A2:XFD2"/>
    </sheetView>
  </sheetViews>
  <sheetFormatPr defaultColWidth="8.7265625" defaultRowHeight="14.5" x14ac:dyDescent="0.35"/>
  <cols>
    <col min="1" max="1" width="18.81640625" style="201" customWidth="1"/>
    <col min="2" max="16384" width="8.7265625" style="201"/>
  </cols>
  <sheetData>
    <row r="1" spans="1:14" ht="21" x14ac:dyDescent="0.5">
      <c r="A1" s="200" t="s">
        <v>631</v>
      </c>
    </row>
    <row r="2" spans="1:14" x14ac:dyDescent="0.35">
      <c r="A2" s="202" t="s">
        <v>0</v>
      </c>
    </row>
    <row r="3" spans="1:14" x14ac:dyDescent="0.35">
      <c r="A3" s="203" t="s">
        <v>1</v>
      </c>
      <c r="B3" s="201" t="s">
        <v>25</v>
      </c>
      <c r="N3" s="253"/>
    </row>
    <row r="4" spans="1:14" x14ac:dyDescent="0.35">
      <c r="A4" s="204" t="s">
        <v>2</v>
      </c>
      <c r="B4" s="201" t="s">
        <v>26</v>
      </c>
    </row>
    <row r="5" spans="1:14" x14ac:dyDescent="0.35">
      <c r="A5" s="203" t="s">
        <v>3</v>
      </c>
      <c r="B5" s="201" t="s">
        <v>27</v>
      </c>
    </row>
    <row r="6" spans="1:14" x14ac:dyDescent="0.35">
      <c r="A6" s="203" t="s">
        <v>4</v>
      </c>
      <c r="B6" s="201" t="s">
        <v>28</v>
      </c>
    </row>
    <row r="7" spans="1:14" x14ac:dyDescent="0.35">
      <c r="A7" s="203" t="s">
        <v>5</v>
      </c>
      <c r="B7" s="201" t="s">
        <v>29</v>
      </c>
    </row>
    <row r="8" spans="1:14" x14ac:dyDescent="0.35">
      <c r="A8" s="205" t="s">
        <v>6</v>
      </c>
      <c r="B8" s="206" t="s">
        <v>46</v>
      </c>
    </row>
    <row r="9" spans="1:14" x14ac:dyDescent="0.35">
      <c r="A9" s="203" t="s">
        <v>19</v>
      </c>
      <c r="B9" s="201" t="s">
        <v>30</v>
      </c>
    </row>
    <row r="10" spans="1:14" x14ac:dyDescent="0.35">
      <c r="A10" s="203" t="s">
        <v>12</v>
      </c>
      <c r="B10" s="206" t="s">
        <v>47</v>
      </c>
    </row>
    <row r="11" spans="1:14" x14ac:dyDescent="0.35">
      <c r="A11" s="203" t="s">
        <v>11</v>
      </c>
      <c r="B11" s="201" t="s">
        <v>21</v>
      </c>
    </row>
    <row r="12" spans="1:14" x14ac:dyDescent="0.35">
      <c r="A12" s="203" t="s">
        <v>13</v>
      </c>
      <c r="B12" s="201" t="s">
        <v>31</v>
      </c>
    </row>
    <row r="13" spans="1:14" x14ac:dyDescent="0.35">
      <c r="A13" s="203" t="s">
        <v>18</v>
      </c>
      <c r="B13" s="201" t="s">
        <v>32</v>
      </c>
    </row>
    <row r="14" spans="1:14" x14ac:dyDescent="0.35">
      <c r="A14" s="203" t="s">
        <v>43</v>
      </c>
      <c r="B14" s="201" t="s">
        <v>33</v>
      </c>
    </row>
    <row r="15" spans="1:14" x14ac:dyDescent="0.35">
      <c r="A15" s="203" t="s">
        <v>614</v>
      </c>
      <c r="B15" s="207" t="s">
        <v>615</v>
      </c>
    </row>
    <row r="16" spans="1:14" x14ac:dyDescent="0.35">
      <c r="A16" s="203" t="s">
        <v>613</v>
      </c>
      <c r="B16" s="207" t="s">
        <v>616</v>
      </c>
    </row>
    <row r="17" spans="1:2" x14ac:dyDescent="0.35">
      <c r="A17" s="203" t="s">
        <v>44</v>
      </c>
      <c r="B17" s="207" t="s">
        <v>45</v>
      </c>
    </row>
    <row r="19" spans="1:2" x14ac:dyDescent="0.35">
      <c r="A19" s="203" t="s">
        <v>15</v>
      </c>
      <c r="B19" s="201" t="s">
        <v>25</v>
      </c>
    </row>
    <row r="20" spans="1:2" x14ac:dyDescent="0.35">
      <c r="A20" s="203" t="s">
        <v>16</v>
      </c>
      <c r="B20" s="201" t="s">
        <v>26</v>
      </c>
    </row>
    <row r="21" spans="1:2" x14ac:dyDescent="0.35">
      <c r="A21" s="203" t="s">
        <v>17</v>
      </c>
      <c r="B21" s="201" t="s">
        <v>33</v>
      </c>
    </row>
    <row r="22" spans="1:2" x14ac:dyDescent="0.35">
      <c r="A22" s="203"/>
    </row>
    <row r="23" spans="1:2" x14ac:dyDescent="0.35">
      <c r="A23" s="203" t="s">
        <v>617</v>
      </c>
      <c r="B23" s="201" t="s">
        <v>624</v>
      </c>
    </row>
    <row r="24" spans="1:2" x14ac:dyDescent="0.35">
      <c r="A24" s="203" t="s">
        <v>618</v>
      </c>
      <c r="B24" s="201" t="s">
        <v>625</v>
      </c>
    </row>
    <row r="25" spans="1:2" x14ac:dyDescent="0.35">
      <c r="A25" s="203" t="s">
        <v>619</v>
      </c>
      <c r="B25" s="201" t="s">
        <v>626</v>
      </c>
    </row>
    <row r="26" spans="1:2" x14ac:dyDescent="0.35">
      <c r="A26" s="203" t="s">
        <v>620</v>
      </c>
      <c r="B26" s="206" t="s">
        <v>627</v>
      </c>
    </row>
    <row r="27" spans="1:2" x14ac:dyDescent="0.35">
      <c r="A27" s="203" t="s">
        <v>621</v>
      </c>
      <c r="B27" s="201" t="s">
        <v>628</v>
      </c>
    </row>
    <row r="28" spans="1:2" x14ac:dyDescent="0.35">
      <c r="A28" s="203" t="s">
        <v>622</v>
      </c>
      <c r="B28" s="206" t="s">
        <v>629</v>
      </c>
    </row>
    <row r="29" spans="1:2" x14ac:dyDescent="0.35">
      <c r="A29" s="203" t="s">
        <v>623</v>
      </c>
      <c r="B29" s="201" t="s">
        <v>630</v>
      </c>
    </row>
    <row r="30" spans="1:2" x14ac:dyDescent="0.35">
      <c r="A30" s="203"/>
    </row>
  </sheetData>
  <hyperlinks>
    <hyperlink ref="A7" location="'Table 5 Applications by LA '!A1" display="Table 5"/>
    <hyperlink ref="A6" location="'Table 4 Applications by Age '!A1" display="Table 4"/>
    <hyperlink ref="A11" location="'Table 9 Applications by Births'!A1" display="Table 9"/>
    <hyperlink ref="A5" location="'Table 3 Applications by Channel'!A1" display="Table 3"/>
    <hyperlink ref="A9" location="'Table 7 Applications by Board'!A1" display="Table 7"/>
    <hyperlink ref="A14" location="'Table 12 Payments by Month'!A1" display="Table 12"/>
    <hyperlink ref="A4" location="'Table 2 Applications by Type'!A1" display="Table 2"/>
    <hyperlink ref="A12" location="'Table 10 Processing Times'!A1" display="Table 10"/>
    <hyperlink ref="A3" location="'Table 1 Applications by Month'!A1" display="Table 1"/>
    <hyperlink ref="A20" location="'Chart 2'!A1" display="Chart 2"/>
    <hyperlink ref="A21" location="'Chart 3'!A1" display="Chart 3"/>
    <hyperlink ref="A13" location="'Table 11 Payments by LA'!A1" display="Table 11"/>
    <hyperlink ref="A8" location="'Table 6 Components by LA'!A1" display="Table 6"/>
    <hyperlink ref="A10" location="'Table 8 Components by Board'!A1" display="Table 8"/>
    <hyperlink ref="A17" location="'Table 14 Reviews'!A1" display="Table 14"/>
    <hyperlink ref="A15" location="'Table 13a Re-determinations'!A1" display="Table 13a"/>
    <hyperlink ref="A16" location="'Table 13b Appeals'!A1" display="Table 13b"/>
    <hyperlink ref="A19" location="'Chart 1'!A1" display="Chart 1"/>
    <hyperlink ref="A23" location="'Table 2 - Full data'!A1" display="Table 2"/>
    <hyperlink ref="A24" location="'Table 4 - Full data'!A1" display="Table 4"/>
    <hyperlink ref="A25" location="'Table 5 - Full data'!A1" display="Table 5"/>
    <hyperlink ref="A26" location="'Table 6 Components by LA'!A1" display="Table 6"/>
    <hyperlink ref="A27" location="'Table 7 - Full data'!A1" display="Table 7"/>
    <hyperlink ref="A28" location="'Table 8 - Full data'!A1" display="Table 8"/>
    <hyperlink ref="A29" location="'Table 9 Full Data'!A1" display="Table 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23"/>
  <sheetViews>
    <sheetView zoomScale="75" zoomScaleNormal="75" workbookViewId="0"/>
  </sheetViews>
  <sheetFormatPr defaultRowHeight="14.5" x14ac:dyDescent="0.35"/>
  <cols>
    <col min="1" max="1" width="46.26953125" customWidth="1"/>
    <col min="2" max="10" width="17.26953125" customWidth="1"/>
  </cols>
  <sheetData>
    <row r="1" spans="1:27" ht="21" x14ac:dyDescent="0.5">
      <c r="A1" s="20" t="s">
        <v>528</v>
      </c>
      <c r="B1" s="20"/>
      <c r="C1" s="20"/>
      <c r="D1" s="20"/>
      <c r="E1" s="20"/>
      <c r="F1" s="20"/>
      <c r="G1" s="20"/>
      <c r="H1" s="22"/>
      <c r="I1" s="22"/>
      <c r="J1" s="22"/>
      <c r="K1" s="22"/>
      <c r="L1" s="21"/>
      <c r="M1" s="21"/>
      <c r="N1" s="21"/>
      <c r="O1" s="21"/>
      <c r="P1" s="21"/>
      <c r="Q1" s="21"/>
      <c r="R1" s="21"/>
    </row>
    <row r="2" spans="1:27" ht="21" x14ac:dyDescent="0.5">
      <c r="A2" s="36" t="s">
        <v>767</v>
      </c>
      <c r="B2" s="19"/>
      <c r="C2" s="19"/>
      <c r="D2" s="19"/>
      <c r="E2" s="19"/>
      <c r="F2" s="19"/>
      <c r="G2" s="19"/>
      <c r="H2" s="22"/>
      <c r="I2" s="22"/>
      <c r="J2" s="22"/>
      <c r="K2" s="22"/>
      <c r="L2" s="21"/>
      <c r="M2" s="21"/>
      <c r="N2" s="21"/>
      <c r="O2" s="21"/>
      <c r="P2" s="21"/>
      <c r="Q2" s="21"/>
      <c r="R2" s="21"/>
    </row>
    <row r="3" spans="1:27" s="8" customFormat="1" ht="21" x14ac:dyDescent="0.5">
      <c r="A3" s="25" t="s">
        <v>774</v>
      </c>
      <c r="B3" s="19"/>
      <c r="C3" s="19"/>
      <c r="D3" s="19"/>
      <c r="E3" s="19"/>
      <c r="F3" s="19"/>
      <c r="G3" s="19"/>
      <c r="H3" s="22"/>
      <c r="I3" s="22"/>
      <c r="J3" s="22"/>
      <c r="K3" s="22"/>
      <c r="L3" s="21"/>
      <c r="M3" s="21"/>
      <c r="N3" s="21"/>
      <c r="O3" s="21"/>
      <c r="P3" s="21"/>
      <c r="Q3" s="21"/>
      <c r="R3" s="21"/>
    </row>
    <row r="4" spans="1:27" s="8" customFormat="1" ht="21" x14ac:dyDescent="0.5">
      <c r="A4" s="25" t="s">
        <v>484</v>
      </c>
      <c r="B4" s="19"/>
      <c r="C4" s="19"/>
      <c r="D4" s="19"/>
      <c r="E4" s="19"/>
      <c r="F4" s="19"/>
      <c r="G4" s="19"/>
      <c r="H4" s="22"/>
      <c r="I4" s="22"/>
      <c r="J4" s="22"/>
      <c r="K4" s="22"/>
      <c r="L4" s="21"/>
      <c r="M4" s="21"/>
      <c r="N4" s="21"/>
      <c r="O4" s="21"/>
      <c r="P4" s="21"/>
      <c r="Q4" s="21"/>
      <c r="R4" s="21"/>
    </row>
    <row r="5" spans="1:27" s="8" customFormat="1" ht="31" x14ac:dyDescent="0.35">
      <c r="A5" s="198" t="s">
        <v>750</v>
      </c>
      <c r="B5" s="197" t="s">
        <v>241</v>
      </c>
      <c r="C5" s="36"/>
      <c r="D5" s="26"/>
      <c r="E5" s="26"/>
      <c r="F5" s="26"/>
      <c r="G5" s="26"/>
      <c r="H5" s="26"/>
      <c r="I5" s="26"/>
      <c r="J5" s="26"/>
      <c r="K5" s="26"/>
      <c r="L5" s="26"/>
      <c r="M5" s="26"/>
      <c r="N5" s="26"/>
      <c r="O5" s="26"/>
      <c r="P5" s="26"/>
      <c r="Q5" s="26"/>
      <c r="R5" s="21"/>
    </row>
    <row r="6" spans="1:27" ht="77.5" x14ac:dyDescent="0.35">
      <c r="A6" s="37" t="s">
        <v>762</v>
      </c>
      <c r="B6" s="31" t="s">
        <v>691</v>
      </c>
      <c r="C6" s="31" t="s">
        <v>353</v>
      </c>
      <c r="D6" s="31" t="s">
        <v>87</v>
      </c>
      <c r="E6" s="31" t="s">
        <v>763</v>
      </c>
      <c r="F6" s="31" t="s">
        <v>59</v>
      </c>
      <c r="G6" s="31" t="s">
        <v>90</v>
      </c>
      <c r="H6" s="31" t="s">
        <v>343</v>
      </c>
      <c r="I6" s="31" t="s">
        <v>344</v>
      </c>
      <c r="J6" s="31" t="s">
        <v>345</v>
      </c>
      <c r="K6" s="26"/>
      <c r="L6" s="32"/>
      <c r="M6" s="26"/>
      <c r="N6" s="26"/>
      <c r="O6" s="26"/>
      <c r="P6" s="26"/>
      <c r="Q6" s="26"/>
      <c r="R6" s="21"/>
    </row>
    <row r="7" spans="1:27" ht="15.5" x14ac:dyDescent="0.35">
      <c r="A7" s="33" t="str">
        <f>"Total Pregnancy and Baby Applications " &amp;$B$5</f>
        <v>Total Pregnancy and Baby Applications All time</v>
      </c>
      <c r="B7" s="166">
        <f>VLOOKUP($A7, 'Table 9 Full Data'!$A$2:$J$21,2,FALSE)</f>
        <v>92810</v>
      </c>
      <c r="C7" s="114">
        <f>VLOOKUP($A7, 'Table 9 Full Data'!$A$2:$J$21,3,FALSE)</f>
        <v>1</v>
      </c>
      <c r="D7" s="166">
        <f>VLOOKUP($A7, 'Table 9 Full Data'!$A$2:$J$21,4,FALSE)</f>
        <v>89505</v>
      </c>
      <c r="E7" s="166">
        <f>VLOOKUP($A7, 'Table 9 Full Data'!$A$2:$J$21,5,FALSE)</f>
        <v>46660</v>
      </c>
      <c r="F7" s="166">
        <f>VLOOKUP($A7, 'Table 9 Full Data'!$A$2:$J$21,6,FALSE)</f>
        <v>39955</v>
      </c>
      <c r="G7" s="166">
        <f>VLOOKUP($A7, 'Table 9 Full Data'!$A$2:$J$21,7,FALSE)</f>
        <v>2890</v>
      </c>
      <c r="H7" s="114">
        <f>VLOOKUP($A7, 'Table 9 Full Data'!$A$2:$J$21,8,FALSE)</f>
        <v>0.52</v>
      </c>
      <c r="I7" s="114">
        <f>VLOOKUP($A7, 'Table 9 Full Data'!$A$2:$J$21,9,FALSE)</f>
        <v>0.45</v>
      </c>
      <c r="J7" s="114">
        <f>VLOOKUP($A7, 'Table 9 Full Data'!$A$2:$J$21,10,FALSE)</f>
        <v>0.03</v>
      </c>
      <c r="K7" s="26"/>
      <c r="L7" s="32"/>
      <c r="M7" s="26"/>
      <c r="N7" s="26"/>
      <c r="O7" s="26"/>
      <c r="P7" s="26"/>
      <c r="Q7" s="26"/>
      <c r="R7" s="21"/>
    </row>
    <row r="8" spans="1:27" ht="15.5" x14ac:dyDescent="0.35">
      <c r="A8" s="36" t="str">
        <f xml:space="preserve"> "First Birth " &amp;$B$5</f>
        <v>First Birth All time</v>
      </c>
      <c r="B8" s="134">
        <f>VLOOKUP($A8, 'Table 9 Full Data'!$A$2:$J$21,2,FALSE)</f>
        <v>40430</v>
      </c>
      <c r="C8" s="143">
        <f>VLOOKUP($A8, 'Table 9 Full Data'!$A$2:$J$21,3,FALSE)</f>
        <v>0.44</v>
      </c>
      <c r="D8" s="134">
        <f>VLOOKUP($A8, 'Table 9 Full Data'!$A$2:$J$21,4,FALSE)</f>
        <v>38835</v>
      </c>
      <c r="E8" s="134">
        <f>VLOOKUP($A8, 'Table 9 Full Data'!$A$2:$J$21,5,FALSE)</f>
        <v>15540</v>
      </c>
      <c r="F8" s="134">
        <f>VLOOKUP($A8, 'Table 9 Full Data'!$A$2:$J$21,6,FALSE)</f>
        <v>21635</v>
      </c>
      <c r="G8" s="134">
        <f>VLOOKUP($A8, 'Table 9 Full Data'!$A$2:$J$21,7,FALSE)</f>
        <v>1660</v>
      </c>
      <c r="H8" s="143">
        <f>VLOOKUP($A8, 'Table 9 Full Data'!$A$2:$J$21,8,FALSE)</f>
        <v>0.4</v>
      </c>
      <c r="I8" s="143">
        <f>VLOOKUP($A8, 'Table 9 Full Data'!$A$2:$J$21,9,FALSE)</f>
        <v>0.56000000000000005</v>
      </c>
      <c r="J8" s="143">
        <f>VLOOKUP($A8, 'Table 9 Full Data'!$A$2:$J$21,10,FALSE)</f>
        <v>0.04</v>
      </c>
      <c r="K8" s="26"/>
      <c r="L8" s="35"/>
      <c r="M8" s="26"/>
      <c r="N8" s="26"/>
      <c r="O8" s="26"/>
      <c r="P8" s="26"/>
      <c r="Q8" s="26"/>
      <c r="R8" s="21"/>
    </row>
    <row r="9" spans="1:27" ht="16" thickBot="1" x14ac:dyDescent="0.4">
      <c r="A9" s="117" t="str">
        <f xml:space="preserve"> "Subsequent Birth " &amp;$B$5</f>
        <v>Subsequent Birth All time</v>
      </c>
      <c r="B9" s="190">
        <f>VLOOKUP($A9, 'Table 9 Full Data'!$A$2:$J$21,2,FALSE)</f>
        <v>52380</v>
      </c>
      <c r="C9" s="191">
        <f>VLOOKUP($A9, 'Table 9 Full Data'!$A$2:$J$21,3,FALSE)</f>
        <v>0.56000000000000005</v>
      </c>
      <c r="D9" s="190">
        <f>VLOOKUP($A9, 'Table 9 Full Data'!$A$2:$J$21,4,FALSE)</f>
        <v>50670</v>
      </c>
      <c r="E9" s="190">
        <f>VLOOKUP($A9, 'Table 9 Full Data'!$A$2:$J$21,5,FALSE)</f>
        <v>31120</v>
      </c>
      <c r="F9" s="190">
        <f>VLOOKUP($A9, 'Table 9 Full Data'!$A$2:$J$21,6,FALSE)</f>
        <v>18320</v>
      </c>
      <c r="G9" s="190">
        <f>VLOOKUP($A9, 'Table 9 Full Data'!$A$2:$J$21,7,FALSE)</f>
        <v>1230</v>
      </c>
      <c r="H9" s="191">
        <f>VLOOKUP($A9, 'Table 9 Full Data'!$A$2:$J$21,8,FALSE)</f>
        <v>0.61</v>
      </c>
      <c r="I9" s="191">
        <f>VLOOKUP($A9, 'Table 9 Full Data'!$A$2:$J$21,9,FALSE)</f>
        <v>0.36</v>
      </c>
      <c r="J9" s="191">
        <f>VLOOKUP($A9, 'Table 9 Full Data'!$A$2:$J$21,10,FALSE)</f>
        <v>0.02</v>
      </c>
      <c r="K9" s="26"/>
      <c r="L9" s="35"/>
      <c r="M9" s="36"/>
      <c r="N9" s="26"/>
      <c r="O9" s="26"/>
      <c r="P9" s="26"/>
      <c r="Q9" s="26"/>
      <c r="R9" s="21"/>
    </row>
    <row r="10" spans="1:27" ht="15.5" x14ac:dyDescent="0.35">
      <c r="A10" s="36" t="str">
        <f xml:space="preserve"> "Multiple Births " &amp;$B$5</f>
        <v>Multiple Births All time</v>
      </c>
      <c r="B10" s="134">
        <f>VLOOKUP($A10, 'Table 9 Full Data'!$A$2:$J$21,2,FALSE)</f>
        <v>1595</v>
      </c>
      <c r="C10" s="143">
        <f>VLOOKUP($A10, 'Table 9 Full Data'!$A$2:$J$21,3,FALSE)</f>
        <v>0.02</v>
      </c>
      <c r="D10" s="134">
        <f>VLOOKUP($A10, 'Table 9 Full Data'!$A$2:$J$21,4,FALSE)</f>
        <v>1535</v>
      </c>
      <c r="E10" s="134">
        <f>VLOOKUP($A10, 'Table 9 Full Data'!$A$2:$J$21,5,FALSE)</f>
        <v>785</v>
      </c>
      <c r="F10" s="134">
        <f>VLOOKUP($A10, 'Table 9 Full Data'!$A$2:$J$21,6,FALSE)</f>
        <v>695</v>
      </c>
      <c r="G10" s="134">
        <f>VLOOKUP($A10, 'Table 9 Full Data'!$A$2:$J$21,7,FALSE)</f>
        <v>55</v>
      </c>
      <c r="H10" s="143">
        <f>VLOOKUP($A10, 'Table 9 Full Data'!$A$2:$J$21,8,FALSE)</f>
        <v>0.51</v>
      </c>
      <c r="I10" s="143">
        <f>VLOOKUP($A10, 'Table 9 Full Data'!$A$2:$J$21,9,FALSE)</f>
        <v>0.45</v>
      </c>
      <c r="J10" s="143">
        <f>VLOOKUP($A10, 'Table 9 Full Data'!$A$2:$J$21,10,FALSE)</f>
        <v>0.03</v>
      </c>
      <c r="K10" s="26"/>
      <c r="L10" s="35"/>
      <c r="M10" s="36"/>
      <c r="N10" s="26"/>
      <c r="O10" s="26"/>
      <c r="P10" s="26"/>
      <c r="Q10" s="26"/>
      <c r="R10" s="21"/>
    </row>
    <row r="11" spans="1:27" s="14" customFormat="1" ht="18.75" customHeight="1" x14ac:dyDescent="0.35">
      <c r="A11" s="179" t="s">
        <v>9</v>
      </c>
      <c r="B11" s="55"/>
      <c r="C11" s="55"/>
      <c r="D11" s="55"/>
      <c r="E11" s="55"/>
      <c r="F11" s="55"/>
      <c r="G11" s="55"/>
      <c r="H11" s="55"/>
      <c r="I11" s="55"/>
      <c r="J11" s="55"/>
      <c r="K11" s="26"/>
      <c r="L11" s="35"/>
      <c r="M11" s="36"/>
      <c r="N11" s="26"/>
      <c r="O11" s="26"/>
      <c r="P11" s="26"/>
      <c r="Q11" s="26"/>
      <c r="R11" s="21"/>
    </row>
    <row r="12" spans="1:27" s="21" customFormat="1" ht="15.5" x14ac:dyDescent="0.35">
      <c r="A12" s="44" t="s">
        <v>633</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1:27" s="21" customFormat="1" ht="15.5" x14ac:dyDescent="0.35">
      <c r="A13" s="44" t="s">
        <v>634</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1:27" s="76" customFormat="1" ht="15.5" x14ac:dyDescent="0.35">
      <c r="A14" s="45" t="s">
        <v>649</v>
      </c>
      <c r="B14" s="36"/>
      <c r="C14" s="36"/>
      <c r="D14" s="36"/>
      <c r="E14" s="36"/>
      <c r="F14" s="36"/>
      <c r="G14" s="36"/>
      <c r="H14" s="36"/>
      <c r="I14" s="36"/>
      <c r="J14" s="36"/>
      <c r="K14" s="36"/>
      <c r="L14" s="36"/>
      <c r="M14" s="36"/>
      <c r="N14" s="179"/>
      <c r="O14" s="179"/>
      <c r="P14" s="179"/>
      <c r="Q14" s="179"/>
      <c r="R14" s="179"/>
      <c r="S14" s="179"/>
      <c r="T14" s="179"/>
      <c r="U14" s="179"/>
      <c r="V14" s="179"/>
      <c r="W14" s="179"/>
      <c r="X14" s="179"/>
      <c r="Y14" s="179"/>
      <c r="Z14" s="179"/>
      <c r="AA14" s="179"/>
    </row>
    <row r="15" spans="1:27" s="76" customFormat="1" ht="15.5" x14ac:dyDescent="0.35">
      <c r="A15" s="45" t="s">
        <v>635</v>
      </c>
      <c r="B15" s="36"/>
      <c r="C15" s="36"/>
      <c r="D15" s="36"/>
      <c r="E15" s="36"/>
      <c r="F15" s="36"/>
      <c r="G15" s="36"/>
      <c r="H15" s="36"/>
      <c r="I15" s="36"/>
      <c r="J15" s="36"/>
      <c r="K15" s="36"/>
      <c r="L15" s="36"/>
      <c r="M15" s="36"/>
      <c r="N15" s="179"/>
      <c r="O15" s="179"/>
      <c r="P15" s="179"/>
      <c r="Q15" s="179"/>
      <c r="R15" s="179"/>
      <c r="S15" s="179"/>
      <c r="T15" s="179"/>
      <c r="U15" s="179"/>
      <c r="V15" s="179"/>
      <c r="W15" s="179"/>
      <c r="X15" s="179"/>
      <c r="Y15" s="179"/>
      <c r="Z15" s="179"/>
      <c r="AA15" s="179"/>
    </row>
    <row r="16" spans="1:27" ht="124" x14ac:dyDescent="0.35">
      <c r="A16" s="27" t="s">
        <v>687</v>
      </c>
      <c r="K16" s="26"/>
      <c r="L16" s="26"/>
      <c r="M16" s="26"/>
      <c r="N16" s="26"/>
      <c r="O16" s="26"/>
      <c r="P16" s="26"/>
      <c r="Q16" s="26"/>
      <c r="R16" s="21"/>
    </row>
    <row r="17" spans="1:18" ht="15.5" x14ac:dyDescent="0.35">
      <c r="A17" s="36" t="s">
        <v>688</v>
      </c>
      <c r="K17" s="26"/>
      <c r="L17" s="26"/>
      <c r="M17" s="26"/>
      <c r="N17" s="26"/>
      <c r="O17" s="26"/>
      <c r="P17" s="26"/>
      <c r="Q17" s="26"/>
      <c r="R17" s="21"/>
    </row>
    <row r="18" spans="1:18" ht="15.5" x14ac:dyDescent="0.35">
      <c r="A18" s="36" t="s">
        <v>689</v>
      </c>
      <c r="K18" s="26"/>
      <c r="L18" s="26"/>
      <c r="M18" s="26"/>
      <c r="N18" s="26"/>
      <c r="O18" s="26"/>
      <c r="P18" s="26"/>
      <c r="Q18" s="26"/>
      <c r="R18" s="21"/>
    </row>
    <row r="19" spans="1:18" ht="15.5" x14ac:dyDescent="0.35">
      <c r="A19" s="45" t="s">
        <v>690</v>
      </c>
      <c r="K19" s="26"/>
      <c r="L19" s="26"/>
      <c r="M19" s="26"/>
      <c r="N19" s="26"/>
      <c r="O19" s="26"/>
      <c r="P19" s="26"/>
      <c r="Q19" s="26"/>
      <c r="R19" s="21"/>
    </row>
    <row r="20" spans="1:18" ht="15.5" x14ac:dyDescent="0.35">
      <c r="K20" s="26"/>
      <c r="L20" s="26"/>
      <c r="M20" s="26"/>
      <c r="N20" s="26"/>
      <c r="O20" s="26"/>
      <c r="P20" s="26"/>
      <c r="Q20" s="26"/>
      <c r="R20" s="21"/>
    </row>
    <row r="21" spans="1:18" ht="15.5" x14ac:dyDescent="0.35">
      <c r="K21" s="26"/>
      <c r="L21" s="26"/>
      <c r="M21" s="26"/>
      <c r="N21" s="26"/>
      <c r="O21" s="26"/>
      <c r="P21" s="26"/>
      <c r="Q21" s="26"/>
      <c r="R21" s="21"/>
    </row>
    <row r="22" spans="1:18" ht="15.5" x14ac:dyDescent="0.35">
      <c r="K22" s="26"/>
      <c r="L22" s="26"/>
      <c r="M22" s="26"/>
      <c r="N22" s="26"/>
      <c r="O22" s="26"/>
      <c r="P22" s="26"/>
      <c r="Q22" s="26"/>
      <c r="R22" s="21"/>
    </row>
    <row r="23" spans="1:18" ht="15.5" x14ac:dyDescent="0.35">
      <c r="K23" s="26"/>
      <c r="L23" s="26"/>
      <c r="M23" s="26"/>
      <c r="N23" s="26"/>
      <c r="O23" s="26"/>
      <c r="P23" s="26"/>
      <c r="Q23" s="26"/>
      <c r="R23" s="21"/>
    </row>
  </sheetData>
  <conditionalFormatting sqref="C7:C10">
    <cfRule type="dataBar" priority="2">
      <dataBar>
        <cfvo type="num" val="0"/>
        <cfvo type="num" val="1"/>
        <color rgb="FFB4A9D4"/>
      </dataBar>
      <extLst>
        <ext xmlns:x14="http://schemas.microsoft.com/office/spreadsheetml/2009/9/main" uri="{B025F937-C7B1-47D3-B67F-A62EFF666E3E}">
          <x14:id>{1BE08870-0563-46D0-A72E-BFCEBAF44CBB}</x14:id>
        </ext>
      </extLst>
    </cfRule>
  </conditionalFormatting>
  <conditionalFormatting sqref="H7:J10">
    <cfRule type="dataBar" priority="1">
      <dataBar>
        <cfvo type="num" val="0"/>
        <cfvo type="num" val="1"/>
        <color rgb="FFB4A9D4"/>
      </dataBar>
      <extLst>
        <ext xmlns:x14="http://schemas.microsoft.com/office/spreadsheetml/2009/9/main" uri="{B025F937-C7B1-47D3-B67F-A62EFF666E3E}">
          <x14:id>{191E4839-746D-4B94-ACCE-62519B5A88BF}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E08870-0563-46D0-A72E-BFCEBAF44CBB}">
            <x14:dataBar minLength="0" maxLength="100" gradient="0">
              <x14:cfvo type="num">
                <xm:f>0</xm:f>
              </x14:cfvo>
              <x14:cfvo type="num">
                <xm:f>1</xm:f>
              </x14:cfvo>
              <x14:negativeFillColor rgb="FFFF0000"/>
              <x14:axisColor rgb="FF000000"/>
            </x14:dataBar>
          </x14:cfRule>
          <xm:sqref>C7:C10</xm:sqref>
        </x14:conditionalFormatting>
        <x14:conditionalFormatting xmlns:xm="http://schemas.microsoft.com/office/excel/2006/main">
          <x14:cfRule type="dataBar" id="{191E4839-746D-4B94-ACCE-62519B5A88BF}">
            <x14:dataBar minLength="0" maxLength="100" gradient="0">
              <x14:cfvo type="num">
                <xm:f>0</xm:f>
              </x14:cfvo>
              <x14:cfvo type="num">
                <xm:f>1</xm:f>
              </x14:cfvo>
              <x14:negativeFillColor rgb="FFFF0000"/>
              <x14:axisColor rgb="FF000000"/>
            </x14:dataBar>
          </x14:cfRule>
          <xm:sqref>H7:J10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81"/>
  <sheetViews>
    <sheetView zoomScale="75" zoomScaleNormal="75" workbookViewId="0"/>
  </sheetViews>
  <sheetFormatPr defaultRowHeight="14.5" x14ac:dyDescent="0.35"/>
  <cols>
    <col min="1" max="1" width="43.26953125" customWidth="1"/>
    <col min="2" max="11" width="19.26953125" customWidth="1"/>
    <col min="12" max="12" width="19.26953125" style="4" customWidth="1"/>
    <col min="13" max="13" width="19.26953125" customWidth="1"/>
    <col min="14" max="28" width="8.81640625" customWidth="1"/>
    <col min="29" max="29" width="9.81640625" bestFit="1" customWidth="1"/>
    <col min="30" max="30" width="11.453125" customWidth="1"/>
  </cols>
  <sheetData>
    <row r="1" spans="1:22" ht="21" x14ac:dyDescent="0.5">
      <c r="A1" s="29" t="s">
        <v>41</v>
      </c>
      <c r="B1" s="29"/>
      <c r="C1" s="29"/>
      <c r="D1" s="29"/>
      <c r="E1" s="29"/>
      <c r="F1" s="29"/>
      <c r="G1" s="29"/>
      <c r="H1" s="29"/>
      <c r="I1" s="29"/>
      <c r="J1" s="29"/>
      <c r="K1" s="29"/>
      <c r="L1" s="29"/>
      <c r="M1" s="29"/>
      <c r="N1" s="29"/>
      <c r="O1" s="29"/>
      <c r="P1" s="21"/>
      <c r="Q1" s="21"/>
      <c r="R1" s="21"/>
      <c r="S1" s="21"/>
      <c r="T1" s="21"/>
      <c r="U1" s="21"/>
      <c r="V1" s="21"/>
    </row>
    <row r="2" spans="1:22" ht="15.5" x14ac:dyDescent="0.35">
      <c r="A2" s="80" t="s">
        <v>697</v>
      </c>
      <c r="B2" s="26"/>
      <c r="C2" s="26"/>
      <c r="D2" s="26"/>
      <c r="E2" s="26"/>
      <c r="F2" s="26"/>
      <c r="G2" s="26"/>
      <c r="H2" s="26"/>
      <c r="I2" s="26"/>
      <c r="J2" s="26"/>
      <c r="K2" s="26"/>
      <c r="L2" s="36"/>
      <c r="M2" s="26"/>
      <c r="N2" s="26"/>
      <c r="O2" s="26"/>
      <c r="P2" s="21"/>
      <c r="Q2" s="21"/>
      <c r="R2" s="21"/>
      <c r="S2" s="21"/>
      <c r="T2" s="21"/>
      <c r="U2" s="21"/>
      <c r="V2" s="21"/>
    </row>
    <row r="3" spans="1:22" ht="15.5" x14ac:dyDescent="0.35">
      <c r="A3" s="25" t="s">
        <v>611</v>
      </c>
      <c r="B3" s="25"/>
      <c r="C3" s="25"/>
      <c r="D3" s="25"/>
      <c r="E3" s="25"/>
      <c r="F3" s="25"/>
      <c r="G3" s="25"/>
      <c r="H3" s="25"/>
      <c r="I3" s="25"/>
      <c r="J3" s="25"/>
      <c r="K3" s="25"/>
      <c r="L3" s="25"/>
      <c r="M3" s="25"/>
      <c r="N3" s="25"/>
      <c r="O3" s="25"/>
      <c r="P3" s="21"/>
      <c r="Q3" s="21"/>
      <c r="R3" s="21"/>
      <c r="S3" s="21"/>
      <c r="T3" s="21"/>
      <c r="U3" s="21"/>
      <c r="V3" s="21"/>
    </row>
    <row r="4" spans="1:22" ht="77.5" x14ac:dyDescent="0.35">
      <c r="A4" s="37" t="s">
        <v>315</v>
      </c>
      <c r="B4" s="31" t="s">
        <v>695</v>
      </c>
      <c r="C4" s="31" t="s">
        <v>311</v>
      </c>
      <c r="D4" s="31" t="s">
        <v>542</v>
      </c>
      <c r="E4" s="31" t="s">
        <v>543</v>
      </c>
      <c r="F4" s="31" t="s">
        <v>544</v>
      </c>
      <c r="G4" s="31" t="s">
        <v>545</v>
      </c>
      <c r="H4" s="123" t="s">
        <v>546</v>
      </c>
      <c r="I4" s="37" t="s">
        <v>312</v>
      </c>
      <c r="J4" s="31" t="s">
        <v>313</v>
      </c>
      <c r="K4" s="31" t="s">
        <v>547</v>
      </c>
      <c r="L4" s="124" t="s">
        <v>354</v>
      </c>
      <c r="M4" s="37" t="s">
        <v>314</v>
      </c>
      <c r="N4" s="4"/>
      <c r="O4" s="21"/>
      <c r="P4" s="4"/>
      <c r="Q4" s="21"/>
      <c r="R4" s="21"/>
      <c r="S4" s="21"/>
      <c r="T4" s="21"/>
      <c r="U4" s="21"/>
      <c r="V4" s="21"/>
    </row>
    <row r="5" spans="1:22" ht="15.5" x14ac:dyDescent="0.35">
      <c r="A5" s="119" t="s">
        <v>7</v>
      </c>
      <c r="B5" s="113">
        <v>266190</v>
      </c>
      <c r="C5" s="113">
        <v>7345</v>
      </c>
      <c r="D5" s="113">
        <v>56780</v>
      </c>
      <c r="E5" s="113">
        <v>42110</v>
      </c>
      <c r="F5" s="113">
        <v>39470</v>
      </c>
      <c r="G5" s="113">
        <v>38950</v>
      </c>
      <c r="H5" s="121">
        <v>81535</v>
      </c>
      <c r="I5" s="113">
        <v>106235</v>
      </c>
      <c r="J5" s="113">
        <v>145705</v>
      </c>
      <c r="K5" s="112">
        <v>120485</v>
      </c>
      <c r="L5" s="126">
        <v>0.4</v>
      </c>
      <c r="M5" s="120">
        <v>14</v>
      </c>
      <c r="N5" s="4"/>
      <c r="O5" s="21"/>
      <c r="P5" s="21"/>
      <c r="Q5" s="21"/>
      <c r="R5" s="21"/>
      <c r="S5" s="21"/>
      <c r="T5" s="21"/>
      <c r="U5" s="21"/>
      <c r="V5" s="21"/>
    </row>
    <row r="6" spans="1:22" ht="15.5" x14ac:dyDescent="0.35">
      <c r="A6" s="40" t="s">
        <v>278</v>
      </c>
      <c r="B6" s="153">
        <v>3365</v>
      </c>
      <c r="C6" s="111">
        <v>100</v>
      </c>
      <c r="D6" s="111">
        <v>1370</v>
      </c>
      <c r="E6" s="111">
        <v>1595</v>
      </c>
      <c r="F6" s="111">
        <v>295</v>
      </c>
      <c r="G6" s="111">
        <v>0</v>
      </c>
      <c r="H6" s="122">
        <v>0</v>
      </c>
      <c r="I6" s="111">
        <v>3070</v>
      </c>
      <c r="J6" s="111">
        <v>3365</v>
      </c>
      <c r="K6" s="111">
        <v>0</v>
      </c>
      <c r="L6" s="125">
        <v>0.91</v>
      </c>
      <c r="M6" s="82">
        <v>7</v>
      </c>
      <c r="N6" s="21"/>
      <c r="O6" s="21"/>
      <c r="P6" s="21"/>
      <c r="Q6" s="21"/>
      <c r="R6" s="21"/>
      <c r="S6" s="21"/>
      <c r="T6" s="21"/>
      <c r="U6" s="21"/>
      <c r="V6" s="21"/>
    </row>
    <row r="7" spans="1:22" ht="15.5" x14ac:dyDescent="0.35">
      <c r="A7" s="40" t="s">
        <v>279</v>
      </c>
      <c r="B7" s="153">
        <v>8300</v>
      </c>
      <c r="C7" s="111">
        <v>475</v>
      </c>
      <c r="D7" s="111">
        <v>1310</v>
      </c>
      <c r="E7" s="111">
        <v>1310</v>
      </c>
      <c r="F7" s="111">
        <v>3390</v>
      </c>
      <c r="G7" s="111">
        <v>945</v>
      </c>
      <c r="H7" s="122">
        <v>875</v>
      </c>
      <c r="I7" s="111">
        <v>3090</v>
      </c>
      <c r="J7" s="111">
        <v>6480</v>
      </c>
      <c r="K7" s="111">
        <v>1820</v>
      </c>
      <c r="L7" s="125">
        <v>0.37</v>
      </c>
      <c r="M7" s="82">
        <v>12</v>
      </c>
      <c r="N7" s="4"/>
      <c r="O7" s="21"/>
      <c r="P7" s="21"/>
      <c r="Q7" s="21"/>
      <c r="R7" s="21"/>
      <c r="S7" s="21"/>
      <c r="T7" s="21"/>
      <c r="U7" s="21"/>
      <c r="V7" s="21"/>
    </row>
    <row r="8" spans="1:22" ht="15.5" x14ac:dyDescent="0.35">
      <c r="A8" s="40" t="s">
        <v>280</v>
      </c>
      <c r="B8" s="153">
        <v>3105</v>
      </c>
      <c r="C8" s="111">
        <v>550</v>
      </c>
      <c r="D8" s="111">
        <v>815</v>
      </c>
      <c r="E8" s="111">
        <v>285</v>
      </c>
      <c r="F8" s="111">
        <v>260</v>
      </c>
      <c r="G8" s="111">
        <v>240</v>
      </c>
      <c r="H8" s="122">
        <v>960</v>
      </c>
      <c r="I8" s="111">
        <v>1645</v>
      </c>
      <c r="J8" s="111">
        <v>1905</v>
      </c>
      <c r="K8" s="111">
        <v>1200</v>
      </c>
      <c r="L8" s="125">
        <v>0.53</v>
      </c>
      <c r="M8" s="82">
        <v>9</v>
      </c>
      <c r="N8" s="21"/>
      <c r="O8" s="21"/>
      <c r="P8" s="21"/>
      <c r="Q8" s="21"/>
      <c r="R8" s="21"/>
      <c r="S8" s="21"/>
      <c r="T8" s="21"/>
      <c r="U8" s="21"/>
      <c r="V8" s="21"/>
    </row>
    <row r="9" spans="1:22" ht="15.5" x14ac:dyDescent="0.35">
      <c r="A9" s="40" t="s">
        <v>283</v>
      </c>
      <c r="B9" s="153">
        <v>2905</v>
      </c>
      <c r="C9" s="111">
        <v>585</v>
      </c>
      <c r="D9" s="111">
        <v>1080</v>
      </c>
      <c r="E9" s="111">
        <v>300</v>
      </c>
      <c r="F9" s="111">
        <v>215</v>
      </c>
      <c r="G9" s="111">
        <v>175</v>
      </c>
      <c r="H9" s="122">
        <v>545</v>
      </c>
      <c r="I9" s="111">
        <v>1970</v>
      </c>
      <c r="J9" s="111">
        <v>2185</v>
      </c>
      <c r="K9" s="111">
        <v>720</v>
      </c>
      <c r="L9" s="125">
        <v>0.68</v>
      </c>
      <c r="M9" s="82">
        <v>3</v>
      </c>
      <c r="N9" s="21"/>
      <c r="O9" s="21"/>
      <c r="P9" s="21"/>
      <c r="Q9" s="21"/>
      <c r="R9" s="21"/>
      <c r="S9" s="21"/>
      <c r="T9" s="21"/>
      <c r="U9" s="21"/>
      <c r="V9" s="21"/>
    </row>
    <row r="10" spans="1:22" ht="15.5" x14ac:dyDescent="0.35">
      <c r="A10" s="40" t="s">
        <v>284</v>
      </c>
      <c r="B10" s="153">
        <v>3820</v>
      </c>
      <c r="C10" s="111">
        <v>790</v>
      </c>
      <c r="D10" s="111">
        <v>1710</v>
      </c>
      <c r="E10" s="111">
        <v>330</v>
      </c>
      <c r="F10" s="111">
        <v>245</v>
      </c>
      <c r="G10" s="111">
        <v>180</v>
      </c>
      <c r="H10" s="122">
        <v>565</v>
      </c>
      <c r="I10" s="111">
        <v>2830</v>
      </c>
      <c r="J10" s="111">
        <v>3075</v>
      </c>
      <c r="K10" s="111">
        <v>745</v>
      </c>
      <c r="L10" s="125">
        <v>0.74</v>
      </c>
      <c r="M10" s="82">
        <v>1</v>
      </c>
      <c r="N10" s="21"/>
      <c r="O10" s="21"/>
      <c r="P10" s="21"/>
      <c r="Q10" s="21"/>
      <c r="R10" s="21"/>
      <c r="S10" s="21"/>
      <c r="T10" s="21"/>
      <c r="U10" s="21"/>
      <c r="V10" s="21"/>
    </row>
    <row r="11" spans="1:22" ht="15.5" x14ac:dyDescent="0.35">
      <c r="A11" s="40" t="s">
        <v>285</v>
      </c>
      <c r="B11" s="153">
        <v>21140</v>
      </c>
      <c r="C11" s="111">
        <v>400</v>
      </c>
      <c r="D11" s="111">
        <v>17035</v>
      </c>
      <c r="E11" s="111">
        <v>1945</v>
      </c>
      <c r="F11" s="111">
        <v>950</v>
      </c>
      <c r="G11" s="111">
        <v>420</v>
      </c>
      <c r="H11" s="122">
        <v>390</v>
      </c>
      <c r="I11" s="111">
        <v>19380</v>
      </c>
      <c r="J11" s="111">
        <v>20330</v>
      </c>
      <c r="K11" s="111">
        <v>810</v>
      </c>
      <c r="L11" s="125">
        <v>0.92</v>
      </c>
      <c r="M11" s="82">
        <v>4</v>
      </c>
      <c r="N11" s="21"/>
      <c r="O11" s="21"/>
      <c r="P11" s="21"/>
      <c r="Q11" s="21"/>
      <c r="R11" s="21"/>
      <c r="S11" s="21"/>
      <c r="T11" s="21"/>
      <c r="U11" s="21"/>
      <c r="V11" s="21"/>
    </row>
    <row r="12" spans="1:22" ht="15.5" x14ac:dyDescent="0.35">
      <c r="A12" s="40" t="s">
        <v>286</v>
      </c>
      <c r="B12" s="153">
        <v>20520</v>
      </c>
      <c r="C12" s="111">
        <v>450</v>
      </c>
      <c r="D12" s="111">
        <v>7410</v>
      </c>
      <c r="E12" s="111">
        <v>9265</v>
      </c>
      <c r="F12" s="111">
        <v>1340</v>
      </c>
      <c r="G12" s="111">
        <v>1080</v>
      </c>
      <c r="H12" s="122">
        <v>970</v>
      </c>
      <c r="I12" s="111">
        <v>17125</v>
      </c>
      <c r="J12" s="111">
        <v>18470</v>
      </c>
      <c r="K12" s="111">
        <v>2050</v>
      </c>
      <c r="L12" s="125">
        <v>0.83</v>
      </c>
      <c r="M12" s="82">
        <v>7</v>
      </c>
      <c r="N12" s="21"/>
      <c r="O12" s="21"/>
      <c r="P12" s="21"/>
      <c r="Q12" s="21"/>
      <c r="R12" s="21"/>
      <c r="S12" s="21"/>
      <c r="T12" s="21"/>
      <c r="U12" s="21"/>
      <c r="V12" s="21"/>
    </row>
    <row r="13" spans="1:22" ht="15.5" x14ac:dyDescent="0.35">
      <c r="A13" s="40" t="s">
        <v>287</v>
      </c>
      <c r="B13" s="153">
        <v>13030</v>
      </c>
      <c r="C13" s="111">
        <v>1095</v>
      </c>
      <c r="D13" s="111">
        <v>4915</v>
      </c>
      <c r="E13" s="111">
        <v>3510</v>
      </c>
      <c r="F13" s="111">
        <v>925</v>
      </c>
      <c r="G13" s="111">
        <v>895</v>
      </c>
      <c r="H13" s="122">
        <v>1685</v>
      </c>
      <c r="I13" s="111">
        <v>9525</v>
      </c>
      <c r="J13" s="111">
        <v>10450</v>
      </c>
      <c r="K13" s="111">
        <v>2580</v>
      </c>
      <c r="L13" s="125">
        <v>0.73</v>
      </c>
      <c r="M13" s="82">
        <v>6</v>
      </c>
      <c r="N13" s="21"/>
      <c r="O13" s="21"/>
      <c r="P13" s="21"/>
      <c r="Q13" s="21"/>
      <c r="R13" s="21"/>
      <c r="S13" s="21"/>
      <c r="T13" s="21"/>
      <c r="U13" s="21"/>
      <c r="V13" s="21"/>
    </row>
    <row r="14" spans="1:22" ht="15.5" x14ac:dyDescent="0.35">
      <c r="A14" s="40" t="s">
        <v>288</v>
      </c>
      <c r="B14" s="153">
        <v>7460</v>
      </c>
      <c r="C14" s="111">
        <v>890</v>
      </c>
      <c r="D14" s="111">
        <v>3470</v>
      </c>
      <c r="E14" s="111">
        <v>1375</v>
      </c>
      <c r="F14" s="111">
        <v>510</v>
      </c>
      <c r="G14" s="111">
        <v>235</v>
      </c>
      <c r="H14" s="122">
        <v>980</v>
      </c>
      <c r="I14" s="111">
        <v>5735</v>
      </c>
      <c r="J14" s="111">
        <v>6245</v>
      </c>
      <c r="K14" s="111">
        <v>1215</v>
      </c>
      <c r="L14" s="125">
        <v>0.77</v>
      </c>
      <c r="M14" s="82">
        <v>5</v>
      </c>
      <c r="N14" s="21"/>
      <c r="O14" s="21"/>
      <c r="P14" s="21"/>
      <c r="Q14" s="21"/>
      <c r="R14" s="21"/>
      <c r="S14" s="21"/>
      <c r="T14" s="21"/>
      <c r="U14" s="21"/>
      <c r="V14" s="21"/>
    </row>
    <row r="15" spans="1:22" ht="15.5" x14ac:dyDescent="0.35">
      <c r="A15" s="40" t="s">
        <v>289</v>
      </c>
      <c r="B15" s="153">
        <v>6565</v>
      </c>
      <c r="C15" s="111">
        <v>50</v>
      </c>
      <c r="D15" s="111">
        <v>430</v>
      </c>
      <c r="E15" s="111">
        <v>3170</v>
      </c>
      <c r="F15" s="111">
        <v>1225</v>
      </c>
      <c r="G15" s="111">
        <v>645</v>
      </c>
      <c r="H15" s="122">
        <v>1045</v>
      </c>
      <c r="I15" s="111">
        <v>3655</v>
      </c>
      <c r="J15" s="111">
        <v>4875</v>
      </c>
      <c r="K15" s="111">
        <v>1690</v>
      </c>
      <c r="L15" s="125">
        <v>0.56000000000000005</v>
      </c>
      <c r="M15" s="82">
        <v>10</v>
      </c>
      <c r="N15" s="21"/>
      <c r="O15" s="21"/>
      <c r="P15" s="21"/>
      <c r="Q15" s="21"/>
      <c r="R15" s="21"/>
      <c r="S15" s="21"/>
      <c r="T15" s="21"/>
      <c r="U15" s="21"/>
      <c r="V15" s="21"/>
    </row>
    <row r="16" spans="1:22" ht="15.5" x14ac:dyDescent="0.35">
      <c r="A16" s="40" t="s">
        <v>290</v>
      </c>
      <c r="B16" s="153">
        <v>6925</v>
      </c>
      <c r="C16" s="111">
        <v>50</v>
      </c>
      <c r="D16" s="111">
        <v>440</v>
      </c>
      <c r="E16" s="111">
        <v>605</v>
      </c>
      <c r="F16" s="111">
        <v>3850</v>
      </c>
      <c r="G16" s="111">
        <v>595</v>
      </c>
      <c r="H16" s="122">
        <v>1385</v>
      </c>
      <c r="I16" s="111">
        <v>1095</v>
      </c>
      <c r="J16" s="111">
        <v>4945</v>
      </c>
      <c r="K16" s="111">
        <v>1980</v>
      </c>
      <c r="L16" s="125">
        <v>0.16</v>
      </c>
      <c r="M16" s="82">
        <v>13</v>
      </c>
      <c r="N16" s="21"/>
      <c r="O16" s="21"/>
      <c r="P16" s="21"/>
      <c r="Q16" s="21"/>
      <c r="R16" s="21"/>
      <c r="S16" s="21"/>
      <c r="T16" s="21"/>
      <c r="U16" s="21"/>
      <c r="V16" s="21"/>
    </row>
    <row r="17" spans="1:22" ht="15.5" x14ac:dyDescent="0.35">
      <c r="A17" s="40" t="s">
        <v>291</v>
      </c>
      <c r="B17" s="153">
        <v>8190</v>
      </c>
      <c r="C17" s="111">
        <v>55</v>
      </c>
      <c r="D17" s="111">
        <v>865</v>
      </c>
      <c r="E17" s="111">
        <v>3010</v>
      </c>
      <c r="F17" s="111">
        <v>2635</v>
      </c>
      <c r="G17" s="111">
        <v>415</v>
      </c>
      <c r="H17" s="122">
        <v>1215</v>
      </c>
      <c r="I17" s="111">
        <v>3930</v>
      </c>
      <c r="J17" s="111">
        <v>6565</v>
      </c>
      <c r="K17" s="111">
        <v>1625</v>
      </c>
      <c r="L17" s="125">
        <v>0.48</v>
      </c>
      <c r="M17" s="82">
        <v>11</v>
      </c>
      <c r="N17" s="21"/>
      <c r="O17" s="21"/>
      <c r="P17" s="21"/>
      <c r="Q17" s="21"/>
      <c r="R17" s="21"/>
      <c r="S17" s="21"/>
      <c r="T17" s="21"/>
      <c r="U17" s="21"/>
      <c r="V17" s="21"/>
    </row>
    <row r="18" spans="1:22" ht="15.5" x14ac:dyDescent="0.35">
      <c r="A18" s="40" t="s">
        <v>292</v>
      </c>
      <c r="B18" s="153">
        <v>6635</v>
      </c>
      <c r="C18" s="111">
        <v>35</v>
      </c>
      <c r="D18" s="111">
        <v>280</v>
      </c>
      <c r="E18" s="111">
        <v>325</v>
      </c>
      <c r="F18" s="111">
        <v>410</v>
      </c>
      <c r="G18" s="111">
        <v>1685</v>
      </c>
      <c r="H18" s="122">
        <v>3900</v>
      </c>
      <c r="I18" s="111">
        <v>640</v>
      </c>
      <c r="J18" s="111">
        <v>1050</v>
      </c>
      <c r="K18" s="111">
        <v>5585</v>
      </c>
      <c r="L18" s="125">
        <v>0.1</v>
      </c>
      <c r="M18" s="82">
        <v>21</v>
      </c>
      <c r="N18" s="21"/>
      <c r="O18" s="21"/>
      <c r="P18" s="21"/>
      <c r="Q18" s="21"/>
      <c r="R18" s="21"/>
      <c r="S18" s="21"/>
      <c r="T18" s="21"/>
      <c r="U18" s="21"/>
      <c r="V18" s="21"/>
    </row>
    <row r="19" spans="1:22" ht="15.5" x14ac:dyDescent="0.35">
      <c r="A19" s="40" t="s">
        <v>293</v>
      </c>
      <c r="B19" s="153">
        <v>7820</v>
      </c>
      <c r="C19" s="111">
        <v>40</v>
      </c>
      <c r="D19" s="111">
        <v>555</v>
      </c>
      <c r="E19" s="111">
        <v>265</v>
      </c>
      <c r="F19" s="111">
        <v>2330</v>
      </c>
      <c r="G19" s="111">
        <v>1710</v>
      </c>
      <c r="H19" s="122">
        <v>2925</v>
      </c>
      <c r="I19" s="111">
        <v>855</v>
      </c>
      <c r="J19" s="111">
        <v>3185</v>
      </c>
      <c r="K19" s="111">
        <v>4635</v>
      </c>
      <c r="L19" s="125">
        <v>0.11</v>
      </c>
      <c r="M19" s="82">
        <v>18</v>
      </c>
      <c r="N19" s="21"/>
      <c r="O19" s="4"/>
      <c r="P19" s="21"/>
      <c r="Q19" s="21"/>
      <c r="R19" s="21"/>
      <c r="S19" s="21"/>
      <c r="T19" s="21"/>
      <c r="U19" s="21"/>
      <c r="V19" s="21"/>
    </row>
    <row r="20" spans="1:22" ht="15.5" x14ac:dyDescent="0.35">
      <c r="A20" s="40" t="s">
        <v>281</v>
      </c>
      <c r="B20" s="153">
        <v>7890</v>
      </c>
      <c r="C20" s="111">
        <v>30</v>
      </c>
      <c r="D20" s="111">
        <v>390</v>
      </c>
      <c r="E20" s="111">
        <v>1445</v>
      </c>
      <c r="F20" s="111">
        <v>4230</v>
      </c>
      <c r="G20" s="111">
        <v>495</v>
      </c>
      <c r="H20" s="122">
        <v>1300</v>
      </c>
      <c r="I20" s="111">
        <v>1865</v>
      </c>
      <c r="J20" s="111">
        <v>6095</v>
      </c>
      <c r="K20" s="111">
        <v>1795</v>
      </c>
      <c r="L20" s="125">
        <v>0.24</v>
      </c>
      <c r="M20" s="82">
        <v>13</v>
      </c>
      <c r="N20" s="21"/>
      <c r="O20" s="21"/>
      <c r="P20" s="21"/>
      <c r="Q20" s="21"/>
      <c r="R20" s="21"/>
      <c r="S20" s="21"/>
      <c r="T20" s="21"/>
      <c r="U20" s="21"/>
      <c r="V20" s="21"/>
    </row>
    <row r="21" spans="1:22" ht="15.5" x14ac:dyDescent="0.35">
      <c r="A21" s="40" t="s">
        <v>294</v>
      </c>
      <c r="B21" s="153">
        <v>9395</v>
      </c>
      <c r="C21" s="111">
        <v>15</v>
      </c>
      <c r="D21" s="111">
        <v>365</v>
      </c>
      <c r="E21" s="111">
        <v>230</v>
      </c>
      <c r="F21" s="111">
        <v>1150</v>
      </c>
      <c r="G21" s="111">
        <v>5035</v>
      </c>
      <c r="H21" s="122">
        <v>2595</v>
      </c>
      <c r="I21" s="111">
        <v>615</v>
      </c>
      <c r="J21" s="111">
        <v>1765</v>
      </c>
      <c r="K21" s="111">
        <v>7630</v>
      </c>
      <c r="L21" s="125">
        <v>7.0000000000000007E-2</v>
      </c>
      <c r="M21" s="82">
        <v>19</v>
      </c>
      <c r="N21" s="21"/>
      <c r="O21" s="21"/>
      <c r="P21" s="21"/>
      <c r="Q21" s="21"/>
      <c r="R21" s="21"/>
      <c r="S21" s="21"/>
      <c r="T21" s="21"/>
      <c r="U21" s="21"/>
      <c r="V21" s="21"/>
    </row>
    <row r="22" spans="1:22" ht="15.5" x14ac:dyDescent="0.35">
      <c r="A22" s="40" t="s">
        <v>295</v>
      </c>
      <c r="B22" s="153">
        <v>6055</v>
      </c>
      <c r="C22" s="111">
        <v>10</v>
      </c>
      <c r="D22" s="111">
        <v>380</v>
      </c>
      <c r="E22" s="111">
        <v>230</v>
      </c>
      <c r="F22" s="111">
        <v>1965</v>
      </c>
      <c r="G22" s="111">
        <v>1415</v>
      </c>
      <c r="H22" s="122">
        <v>2055</v>
      </c>
      <c r="I22" s="111">
        <v>620</v>
      </c>
      <c r="J22" s="111">
        <v>2585</v>
      </c>
      <c r="K22" s="111">
        <v>3470</v>
      </c>
      <c r="L22" s="125">
        <v>0.1</v>
      </c>
      <c r="M22" s="82">
        <v>16</v>
      </c>
      <c r="N22" s="21"/>
      <c r="O22" s="21"/>
      <c r="P22" s="21"/>
      <c r="Q22" s="21"/>
      <c r="R22" s="21"/>
      <c r="S22" s="21"/>
      <c r="T22" s="21"/>
      <c r="U22" s="21"/>
      <c r="V22" s="21"/>
    </row>
    <row r="23" spans="1:22" ht="15.5" x14ac:dyDescent="0.35">
      <c r="A23" s="40" t="s">
        <v>296</v>
      </c>
      <c r="B23" s="153">
        <v>6190</v>
      </c>
      <c r="C23" s="111">
        <v>10</v>
      </c>
      <c r="D23" s="111">
        <v>390</v>
      </c>
      <c r="E23" s="111">
        <v>2330</v>
      </c>
      <c r="F23" s="111">
        <v>1345</v>
      </c>
      <c r="G23" s="111">
        <v>415</v>
      </c>
      <c r="H23" s="122">
        <v>1705</v>
      </c>
      <c r="I23" s="111">
        <v>2730</v>
      </c>
      <c r="J23" s="111">
        <v>4070</v>
      </c>
      <c r="K23" s="111">
        <v>2120</v>
      </c>
      <c r="L23" s="125">
        <v>0.44</v>
      </c>
      <c r="M23" s="82">
        <v>11</v>
      </c>
      <c r="N23" s="21"/>
      <c r="O23" s="21"/>
      <c r="P23" s="21"/>
      <c r="Q23" s="21"/>
      <c r="R23" s="21"/>
      <c r="S23" s="21"/>
      <c r="T23" s="21"/>
      <c r="U23" s="21"/>
      <c r="V23" s="21"/>
    </row>
    <row r="24" spans="1:22" ht="15.5" x14ac:dyDescent="0.35">
      <c r="A24" s="40" t="s">
        <v>297</v>
      </c>
      <c r="B24" s="153">
        <v>10795</v>
      </c>
      <c r="C24" s="111">
        <v>20</v>
      </c>
      <c r="D24" s="111">
        <v>495</v>
      </c>
      <c r="E24" s="111">
        <v>2965</v>
      </c>
      <c r="F24" s="111">
        <v>2755</v>
      </c>
      <c r="G24" s="111">
        <v>2785</v>
      </c>
      <c r="H24" s="122">
        <v>1780</v>
      </c>
      <c r="I24" s="111">
        <v>3480</v>
      </c>
      <c r="J24" s="111">
        <v>6230</v>
      </c>
      <c r="K24" s="111">
        <v>4565</v>
      </c>
      <c r="L24" s="125">
        <v>0.32</v>
      </c>
      <c r="M24" s="82">
        <v>14</v>
      </c>
      <c r="N24" s="21"/>
      <c r="O24" s="21"/>
      <c r="P24" s="21"/>
      <c r="Q24" s="21"/>
      <c r="R24" s="21"/>
      <c r="S24" s="21"/>
      <c r="T24" s="21"/>
      <c r="U24" s="21"/>
      <c r="V24" s="21"/>
    </row>
    <row r="25" spans="1:22" ht="15.5" x14ac:dyDescent="0.35">
      <c r="A25" s="40" t="s">
        <v>298</v>
      </c>
      <c r="B25" s="153">
        <v>16505</v>
      </c>
      <c r="C25" s="111">
        <v>15</v>
      </c>
      <c r="D25" s="111">
        <v>375</v>
      </c>
      <c r="E25" s="111">
        <v>1370</v>
      </c>
      <c r="F25" s="111">
        <v>1445</v>
      </c>
      <c r="G25" s="111">
        <v>5100</v>
      </c>
      <c r="H25" s="122">
        <v>8200</v>
      </c>
      <c r="I25" s="111">
        <v>1760</v>
      </c>
      <c r="J25" s="111">
        <v>3205</v>
      </c>
      <c r="K25" s="111">
        <v>13300</v>
      </c>
      <c r="L25" s="125">
        <v>0.11</v>
      </c>
      <c r="M25" s="82">
        <v>20</v>
      </c>
      <c r="N25" s="21"/>
      <c r="O25" s="21"/>
      <c r="P25" s="21"/>
      <c r="Q25" s="21"/>
      <c r="R25" s="21"/>
      <c r="S25" s="21"/>
      <c r="T25" s="21"/>
      <c r="U25" s="21"/>
      <c r="V25" s="21"/>
    </row>
    <row r="26" spans="1:22" ht="15.5" x14ac:dyDescent="0.35">
      <c r="A26" s="40" t="s">
        <v>299</v>
      </c>
      <c r="B26" s="153">
        <v>11305</v>
      </c>
      <c r="C26" s="111">
        <v>895</v>
      </c>
      <c r="D26" s="111">
        <v>2850</v>
      </c>
      <c r="E26" s="111">
        <v>440</v>
      </c>
      <c r="F26" s="111">
        <v>320</v>
      </c>
      <c r="G26" s="111">
        <v>320</v>
      </c>
      <c r="H26" s="122">
        <v>6475</v>
      </c>
      <c r="I26" s="111">
        <v>4185</v>
      </c>
      <c r="J26" s="111">
        <v>4510</v>
      </c>
      <c r="K26" s="111">
        <v>6795</v>
      </c>
      <c r="L26" s="125">
        <v>0.37</v>
      </c>
      <c r="M26" s="82">
        <v>28</v>
      </c>
      <c r="N26" s="21"/>
      <c r="O26" s="21"/>
      <c r="P26" s="21"/>
      <c r="Q26" s="21"/>
      <c r="R26" s="21"/>
      <c r="S26" s="21"/>
      <c r="T26" s="21"/>
      <c r="U26" s="21"/>
      <c r="V26" s="21"/>
    </row>
    <row r="27" spans="1:22" ht="15.5" x14ac:dyDescent="0.35">
      <c r="A27" s="40" t="s">
        <v>300</v>
      </c>
      <c r="B27" s="153">
        <v>12960</v>
      </c>
      <c r="C27" s="111">
        <v>300</v>
      </c>
      <c r="D27" s="111">
        <v>2660</v>
      </c>
      <c r="E27" s="111">
        <v>970</v>
      </c>
      <c r="F27" s="111">
        <v>995</v>
      </c>
      <c r="G27" s="111">
        <v>2015</v>
      </c>
      <c r="H27" s="122">
        <v>6025</v>
      </c>
      <c r="I27" s="111">
        <v>3930</v>
      </c>
      <c r="J27" s="111">
        <v>4925</v>
      </c>
      <c r="K27" s="111">
        <v>8035</v>
      </c>
      <c r="L27" s="125">
        <v>0.3</v>
      </c>
      <c r="M27" s="82">
        <v>19</v>
      </c>
      <c r="N27" s="21"/>
      <c r="O27" s="21"/>
      <c r="P27" s="21"/>
      <c r="Q27" s="21"/>
      <c r="R27" s="21"/>
      <c r="S27" s="21"/>
      <c r="T27" s="21"/>
      <c r="U27" s="21"/>
      <c r="V27" s="21"/>
    </row>
    <row r="28" spans="1:22" ht="15.5" x14ac:dyDescent="0.35">
      <c r="A28" s="40" t="s">
        <v>301</v>
      </c>
      <c r="B28" s="153">
        <v>7250</v>
      </c>
      <c r="C28" s="111">
        <v>135</v>
      </c>
      <c r="D28" s="111">
        <v>2375</v>
      </c>
      <c r="E28" s="111">
        <v>835</v>
      </c>
      <c r="F28" s="111">
        <v>540</v>
      </c>
      <c r="G28" s="111">
        <v>490</v>
      </c>
      <c r="H28" s="122">
        <v>2875</v>
      </c>
      <c r="I28" s="111">
        <v>3345</v>
      </c>
      <c r="J28" s="111">
        <v>3885</v>
      </c>
      <c r="K28" s="111">
        <v>3365</v>
      </c>
      <c r="L28" s="125">
        <v>0.46</v>
      </c>
      <c r="M28" s="82">
        <v>13</v>
      </c>
      <c r="N28" s="21"/>
      <c r="O28" s="21"/>
      <c r="P28" s="21"/>
      <c r="Q28" s="21"/>
      <c r="R28" s="21"/>
      <c r="S28" s="21"/>
      <c r="T28" s="21"/>
      <c r="U28" s="21"/>
      <c r="V28" s="21"/>
    </row>
    <row r="29" spans="1:22" ht="15.5" x14ac:dyDescent="0.35">
      <c r="A29" s="40" t="s">
        <v>302</v>
      </c>
      <c r="B29" s="153">
        <v>6520</v>
      </c>
      <c r="C29" s="111">
        <v>140</v>
      </c>
      <c r="D29" s="111">
        <v>1885</v>
      </c>
      <c r="E29" s="111">
        <v>1385</v>
      </c>
      <c r="F29" s="111">
        <v>995</v>
      </c>
      <c r="G29" s="111">
        <v>290</v>
      </c>
      <c r="H29" s="122">
        <v>1825</v>
      </c>
      <c r="I29" s="111">
        <v>3410</v>
      </c>
      <c r="J29" s="111">
        <v>4410</v>
      </c>
      <c r="K29" s="111">
        <v>2115</v>
      </c>
      <c r="L29" s="125">
        <v>0.52</v>
      </c>
      <c r="M29" s="82">
        <v>10</v>
      </c>
      <c r="N29" s="21"/>
      <c r="O29" s="21"/>
      <c r="P29" s="21"/>
      <c r="Q29" s="21"/>
      <c r="R29" s="21"/>
      <c r="S29" s="21"/>
      <c r="T29" s="21"/>
      <c r="U29" s="21"/>
      <c r="V29" s="21"/>
    </row>
    <row r="30" spans="1:22" ht="15.5" x14ac:dyDescent="0.35">
      <c r="A30" s="40" t="s">
        <v>303</v>
      </c>
      <c r="B30" s="153">
        <v>8080</v>
      </c>
      <c r="C30" s="111">
        <v>55</v>
      </c>
      <c r="D30" s="111">
        <v>565</v>
      </c>
      <c r="E30" s="111">
        <v>345</v>
      </c>
      <c r="F30" s="111">
        <v>505</v>
      </c>
      <c r="G30" s="111">
        <v>2785</v>
      </c>
      <c r="H30" s="122">
        <v>3825</v>
      </c>
      <c r="I30" s="111">
        <v>965</v>
      </c>
      <c r="J30" s="111">
        <v>1470</v>
      </c>
      <c r="K30" s="111">
        <v>6610</v>
      </c>
      <c r="L30" s="125">
        <v>0.12</v>
      </c>
      <c r="M30" s="82">
        <v>20</v>
      </c>
      <c r="N30" s="21"/>
      <c r="O30" s="21"/>
      <c r="P30" s="21"/>
      <c r="Q30" s="21"/>
      <c r="R30" s="21"/>
      <c r="S30" s="21"/>
      <c r="T30" s="21"/>
      <c r="U30" s="21"/>
      <c r="V30" s="21"/>
    </row>
    <row r="31" spans="1:22" ht="15.5" x14ac:dyDescent="0.35">
      <c r="A31" s="40" t="s">
        <v>304</v>
      </c>
      <c r="B31" s="153">
        <v>6940</v>
      </c>
      <c r="C31" s="111">
        <v>20</v>
      </c>
      <c r="D31" s="111">
        <v>125</v>
      </c>
      <c r="E31" s="111">
        <v>265</v>
      </c>
      <c r="F31" s="111">
        <v>555</v>
      </c>
      <c r="G31" s="111">
        <v>1680</v>
      </c>
      <c r="H31" s="122">
        <v>4295</v>
      </c>
      <c r="I31" s="111">
        <v>410</v>
      </c>
      <c r="J31" s="111">
        <v>965</v>
      </c>
      <c r="K31" s="111">
        <v>5975</v>
      </c>
      <c r="L31" s="125">
        <v>0.06</v>
      </c>
      <c r="M31" s="82">
        <v>22</v>
      </c>
      <c r="N31" s="21"/>
      <c r="O31" s="21"/>
      <c r="P31" s="21"/>
      <c r="Q31" s="21"/>
      <c r="R31" s="21"/>
      <c r="S31" s="21"/>
      <c r="T31" s="21"/>
      <c r="U31" s="21"/>
      <c r="V31" s="21"/>
    </row>
    <row r="32" spans="1:22" ht="15.5" x14ac:dyDescent="0.35">
      <c r="A32" s="40" t="s">
        <v>282</v>
      </c>
      <c r="B32" s="153">
        <v>9260</v>
      </c>
      <c r="C32" s="111">
        <v>15</v>
      </c>
      <c r="D32" s="111">
        <v>130</v>
      </c>
      <c r="E32" s="111">
        <v>190</v>
      </c>
      <c r="F32" s="111">
        <v>2395</v>
      </c>
      <c r="G32" s="111">
        <v>3100</v>
      </c>
      <c r="H32" s="122">
        <v>3435</v>
      </c>
      <c r="I32" s="111">
        <v>335</v>
      </c>
      <c r="J32" s="111">
        <v>2730</v>
      </c>
      <c r="K32" s="111">
        <v>6530</v>
      </c>
      <c r="L32" s="125">
        <v>0.04</v>
      </c>
      <c r="M32" s="82">
        <v>17</v>
      </c>
      <c r="N32" s="21"/>
      <c r="O32" s="21"/>
      <c r="P32" s="21"/>
      <c r="Q32" s="21"/>
      <c r="R32" s="21"/>
      <c r="S32" s="21"/>
      <c r="T32" s="21"/>
      <c r="U32" s="21"/>
      <c r="V32" s="21"/>
    </row>
    <row r="33" spans="1:22" ht="15.5" x14ac:dyDescent="0.35">
      <c r="A33" s="40" t="s">
        <v>305</v>
      </c>
      <c r="B33" s="153">
        <v>10025</v>
      </c>
      <c r="C33" s="111">
        <v>20</v>
      </c>
      <c r="D33" s="111">
        <v>140</v>
      </c>
      <c r="E33" s="111">
        <v>135</v>
      </c>
      <c r="F33" s="111">
        <v>160</v>
      </c>
      <c r="G33" s="111">
        <v>2575</v>
      </c>
      <c r="H33" s="122">
        <v>6990</v>
      </c>
      <c r="I33" s="111">
        <v>300</v>
      </c>
      <c r="J33" s="111">
        <v>460</v>
      </c>
      <c r="K33" s="111">
        <v>9565</v>
      </c>
      <c r="L33" s="125">
        <v>0.03</v>
      </c>
      <c r="M33" s="82">
        <v>26</v>
      </c>
      <c r="N33" s="21"/>
      <c r="O33" s="21"/>
      <c r="P33" s="21"/>
      <c r="Q33" s="21"/>
      <c r="R33" s="21"/>
      <c r="S33" s="21"/>
      <c r="T33" s="21"/>
      <c r="U33" s="21"/>
      <c r="V33" s="21"/>
    </row>
    <row r="34" spans="1:22" ht="15.5" x14ac:dyDescent="0.35">
      <c r="A34" s="40" t="s">
        <v>306</v>
      </c>
      <c r="B34" s="153">
        <v>9400</v>
      </c>
      <c r="C34" s="111">
        <v>15</v>
      </c>
      <c r="D34" s="111">
        <v>105</v>
      </c>
      <c r="E34" s="111">
        <v>290</v>
      </c>
      <c r="F34" s="111">
        <v>845</v>
      </c>
      <c r="G34" s="111">
        <v>790</v>
      </c>
      <c r="H34" s="122">
        <v>7360</v>
      </c>
      <c r="I34" s="111">
        <v>410</v>
      </c>
      <c r="J34" s="111">
        <v>1255</v>
      </c>
      <c r="K34" s="111">
        <v>8150</v>
      </c>
      <c r="L34" s="125">
        <v>0.04</v>
      </c>
      <c r="M34" s="82">
        <v>28</v>
      </c>
      <c r="N34" s="21"/>
      <c r="O34" s="21"/>
      <c r="P34" s="21"/>
      <c r="Q34" s="21"/>
      <c r="R34" s="21"/>
      <c r="S34" s="21"/>
      <c r="T34" s="21"/>
      <c r="U34" s="21"/>
      <c r="V34" s="21"/>
    </row>
    <row r="35" spans="1:22" ht="16" thickBot="1" x14ac:dyDescent="0.4">
      <c r="A35" s="117" t="s">
        <v>307</v>
      </c>
      <c r="B35" s="175">
        <v>7835</v>
      </c>
      <c r="C35" s="118">
        <v>70</v>
      </c>
      <c r="D35" s="118">
        <v>1870</v>
      </c>
      <c r="E35" s="118">
        <v>1390</v>
      </c>
      <c r="F35" s="118">
        <v>695</v>
      </c>
      <c r="G35" s="118">
        <v>450</v>
      </c>
      <c r="H35" s="176">
        <v>3360</v>
      </c>
      <c r="I35" s="118">
        <v>3330</v>
      </c>
      <c r="J35" s="118">
        <v>4020</v>
      </c>
      <c r="K35" s="118">
        <v>3815</v>
      </c>
      <c r="L35" s="177">
        <v>0.43</v>
      </c>
      <c r="M35" s="178">
        <v>15</v>
      </c>
      <c r="N35" s="76"/>
      <c r="O35" s="76"/>
      <c r="P35" s="21"/>
      <c r="Q35" s="21"/>
      <c r="R35" s="21"/>
      <c r="S35" s="21"/>
      <c r="T35" s="21"/>
      <c r="U35" s="21"/>
      <c r="V35" s="21"/>
    </row>
    <row r="36" spans="1:22" s="21" customFormat="1" ht="15.5" x14ac:dyDescent="0.35">
      <c r="A36" s="174" t="s">
        <v>610</v>
      </c>
      <c r="B36" s="97">
        <v>1</v>
      </c>
      <c r="C36" s="97">
        <v>0.03</v>
      </c>
      <c r="D36" s="97">
        <v>0.21</v>
      </c>
      <c r="E36" s="97">
        <v>0.16</v>
      </c>
      <c r="F36" s="97">
        <v>0.15</v>
      </c>
      <c r="G36" s="97">
        <v>0.15</v>
      </c>
      <c r="H36" s="125">
        <v>0.31</v>
      </c>
      <c r="I36" s="97">
        <v>0.4</v>
      </c>
      <c r="J36" s="97">
        <v>0.55000000000000004</v>
      </c>
      <c r="K36" s="97">
        <v>0.45</v>
      </c>
      <c r="L36" s="125" t="s">
        <v>612</v>
      </c>
      <c r="M36" s="97" t="s">
        <v>612</v>
      </c>
      <c r="N36" s="76"/>
      <c r="O36" s="76"/>
    </row>
    <row r="37" spans="1:22" ht="15.5" x14ac:dyDescent="0.35">
      <c r="A37" s="75" t="s">
        <v>9</v>
      </c>
      <c r="B37" s="75"/>
      <c r="C37" s="75"/>
      <c r="D37" s="75"/>
      <c r="E37" s="75"/>
      <c r="F37" s="75"/>
      <c r="G37" s="75"/>
      <c r="H37" s="21"/>
      <c r="I37" s="21"/>
      <c r="J37" s="76"/>
      <c r="K37" s="76"/>
      <c r="L37" s="76"/>
      <c r="M37" s="76"/>
      <c r="N37" s="76"/>
      <c r="O37" s="76"/>
      <c r="P37" s="21"/>
      <c r="Q37" s="21"/>
      <c r="R37" s="21"/>
      <c r="S37" s="21"/>
      <c r="T37" s="21"/>
      <c r="U37" s="21"/>
      <c r="V37" s="21"/>
    </row>
    <row r="38" spans="1:22" ht="200.15" customHeight="1" x14ac:dyDescent="0.35">
      <c r="A38" s="43" t="s">
        <v>764</v>
      </c>
      <c r="B38" s="44"/>
      <c r="C38" s="44"/>
      <c r="D38" s="44"/>
      <c r="E38" s="44"/>
      <c r="F38" s="44"/>
      <c r="G38" s="44"/>
      <c r="H38" s="75"/>
      <c r="I38" s="75"/>
      <c r="J38" s="57"/>
      <c r="K38" s="57"/>
      <c r="L38" s="57"/>
      <c r="M38" s="57"/>
      <c r="N38" s="57"/>
      <c r="O38" s="57"/>
      <c r="P38" s="21"/>
      <c r="Q38" s="21"/>
      <c r="R38" s="21"/>
      <c r="S38" s="21"/>
      <c r="T38" s="21"/>
      <c r="U38" s="21"/>
      <c r="V38" s="21"/>
    </row>
    <row r="39" spans="1:22" ht="15.5" x14ac:dyDescent="0.35">
      <c r="A39" s="44" t="s">
        <v>692</v>
      </c>
      <c r="B39" s="43"/>
      <c r="C39" s="43"/>
      <c r="D39" s="43"/>
      <c r="E39" s="43"/>
      <c r="F39" s="43"/>
      <c r="G39" s="43"/>
      <c r="H39" s="43"/>
      <c r="I39" s="43"/>
      <c r="J39" s="77"/>
      <c r="K39" s="77"/>
      <c r="L39" s="77"/>
      <c r="M39" s="77"/>
      <c r="N39" s="77"/>
      <c r="O39" s="77"/>
      <c r="P39" s="21"/>
      <c r="Q39" s="21"/>
      <c r="R39" s="21"/>
      <c r="S39" s="21"/>
      <c r="T39" s="21"/>
      <c r="U39" s="21"/>
      <c r="V39" s="21"/>
    </row>
    <row r="40" spans="1:22" ht="15.5" x14ac:dyDescent="0.35">
      <c r="A40" s="63" t="s">
        <v>693</v>
      </c>
      <c r="B40" s="44"/>
      <c r="C40" s="44"/>
      <c r="D40" s="44"/>
      <c r="E40" s="44"/>
      <c r="F40" s="44"/>
      <c r="G40" s="44"/>
      <c r="H40" s="43"/>
      <c r="I40" s="43"/>
      <c r="J40" s="76"/>
      <c r="K40" s="76"/>
      <c r="L40" s="76"/>
      <c r="M40" s="76"/>
      <c r="N40" s="76"/>
      <c r="O40" s="76"/>
      <c r="P40" s="21"/>
      <c r="Q40" s="21"/>
      <c r="R40" s="21"/>
      <c r="S40" s="21"/>
      <c r="T40" s="21"/>
      <c r="U40" s="21"/>
      <c r="V40" s="21"/>
    </row>
    <row r="41" spans="1:22" ht="15.5" x14ac:dyDescent="0.35">
      <c r="A41" s="44" t="s">
        <v>694</v>
      </c>
      <c r="B41" s="43"/>
      <c r="C41" s="43"/>
      <c r="D41" s="43"/>
      <c r="E41" s="43"/>
      <c r="F41" s="43"/>
      <c r="G41" s="43"/>
      <c r="H41" s="44"/>
      <c r="I41" s="44"/>
      <c r="J41" s="21"/>
      <c r="K41" s="21"/>
      <c r="M41" s="21"/>
      <c r="N41" s="21"/>
      <c r="O41" s="21"/>
      <c r="P41" s="21"/>
      <c r="Q41" s="21"/>
      <c r="R41" s="21"/>
      <c r="S41" s="21"/>
      <c r="T41" s="21"/>
      <c r="U41" s="21"/>
      <c r="V41" s="21"/>
    </row>
    <row r="42" spans="1:22" ht="15.5" x14ac:dyDescent="0.35">
      <c r="A42" s="44"/>
      <c r="B42" s="44"/>
      <c r="C42" s="44"/>
      <c r="D42" s="44"/>
      <c r="E42" s="44"/>
      <c r="F42" s="44"/>
      <c r="G42" s="44"/>
      <c r="H42" s="43"/>
      <c r="I42" s="43"/>
      <c r="J42" s="21"/>
      <c r="K42" s="21"/>
      <c r="M42" s="21"/>
      <c r="N42" s="21"/>
      <c r="O42" s="21"/>
      <c r="P42" s="21"/>
      <c r="Q42" s="21"/>
      <c r="R42" s="21"/>
      <c r="S42" s="21"/>
      <c r="T42" s="21"/>
      <c r="U42" s="21"/>
      <c r="V42" s="21"/>
    </row>
    <row r="45" spans="1:22" x14ac:dyDescent="0.35">
      <c r="L45" s="127"/>
    </row>
    <row r="46" spans="1:22" x14ac:dyDescent="0.35">
      <c r="L46" s="127"/>
    </row>
    <row r="47" spans="1:22" x14ac:dyDescent="0.35">
      <c r="L47" s="127"/>
    </row>
    <row r="48" spans="1:22" x14ac:dyDescent="0.35">
      <c r="L48" s="127"/>
    </row>
    <row r="49" spans="12:12" x14ac:dyDescent="0.35">
      <c r="L49" s="127"/>
    </row>
    <row r="50" spans="12:12" x14ac:dyDescent="0.35">
      <c r="L50" s="127"/>
    </row>
    <row r="51" spans="12:12" x14ac:dyDescent="0.35">
      <c r="L51" s="127"/>
    </row>
    <row r="52" spans="12:12" x14ac:dyDescent="0.35">
      <c r="L52" s="127"/>
    </row>
    <row r="53" spans="12:12" x14ac:dyDescent="0.35">
      <c r="L53" s="127"/>
    </row>
    <row r="54" spans="12:12" x14ac:dyDescent="0.35">
      <c r="L54" s="127"/>
    </row>
    <row r="55" spans="12:12" x14ac:dyDescent="0.35">
      <c r="L55" s="127"/>
    </row>
    <row r="56" spans="12:12" x14ac:dyDescent="0.35">
      <c r="L56" s="127"/>
    </row>
    <row r="57" spans="12:12" x14ac:dyDescent="0.35">
      <c r="L57" s="127"/>
    </row>
    <row r="58" spans="12:12" x14ac:dyDescent="0.35">
      <c r="L58" s="127"/>
    </row>
    <row r="59" spans="12:12" x14ac:dyDescent="0.35">
      <c r="L59" s="127"/>
    </row>
    <row r="60" spans="12:12" x14ac:dyDescent="0.35">
      <c r="L60" s="127"/>
    </row>
    <row r="61" spans="12:12" x14ac:dyDescent="0.35">
      <c r="L61" s="127"/>
    </row>
    <row r="62" spans="12:12" x14ac:dyDescent="0.35">
      <c r="L62" s="127"/>
    </row>
    <row r="63" spans="12:12" x14ac:dyDescent="0.35">
      <c r="L63" s="127"/>
    </row>
    <row r="64" spans="12:12" x14ac:dyDescent="0.35">
      <c r="L64" s="127"/>
    </row>
    <row r="65" spans="12:12" x14ac:dyDescent="0.35">
      <c r="L65" s="127"/>
    </row>
    <row r="66" spans="12:12" x14ac:dyDescent="0.35">
      <c r="L66" s="127"/>
    </row>
    <row r="67" spans="12:12" x14ac:dyDescent="0.35">
      <c r="L67" s="127"/>
    </row>
    <row r="68" spans="12:12" x14ac:dyDescent="0.35">
      <c r="L68" s="127"/>
    </row>
    <row r="69" spans="12:12" x14ac:dyDescent="0.35">
      <c r="L69" s="127"/>
    </row>
    <row r="70" spans="12:12" x14ac:dyDescent="0.35">
      <c r="L70" s="127"/>
    </row>
    <row r="71" spans="12:12" x14ac:dyDescent="0.35">
      <c r="L71" s="127"/>
    </row>
    <row r="72" spans="12:12" x14ac:dyDescent="0.35">
      <c r="L72" s="127"/>
    </row>
    <row r="73" spans="12:12" x14ac:dyDescent="0.35">
      <c r="L73" s="127"/>
    </row>
    <row r="74" spans="12:12" x14ac:dyDescent="0.35">
      <c r="L74" s="127"/>
    </row>
    <row r="75" spans="12:12" x14ac:dyDescent="0.35">
      <c r="L75" s="127"/>
    </row>
    <row r="76" spans="12:12" x14ac:dyDescent="0.35">
      <c r="L76" s="127"/>
    </row>
    <row r="77" spans="12:12" x14ac:dyDescent="0.35">
      <c r="L77" s="127"/>
    </row>
    <row r="78" spans="12:12" x14ac:dyDescent="0.35">
      <c r="L78" s="127"/>
    </row>
    <row r="79" spans="12:12" x14ac:dyDescent="0.35">
      <c r="L79" s="127"/>
    </row>
    <row r="80" spans="12:12" x14ac:dyDescent="0.35">
      <c r="L80" s="127"/>
    </row>
    <row r="81" spans="12:12" x14ac:dyDescent="0.35">
      <c r="L81" s="127"/>
    </row>
  </sheetData>
  <conditionalFormatting sqref="L5:L35">
    <cfRule type="dataBar" priority="7">
      <dataBar>
        <cfvo type="num" val="0"/>
        <cfvo type="num" val="1"/>
        <color rgb="FFB4A9D4"/>
      </dataBar>
      <extLst>
        <ext xmlns:x14="http://schemas.microsoft.com/office/spreadsheetml/2009/9/main" uri="{B025F937-C7B1-47D3-B67F-A62EFF666E3E}">
          <x14:id>{4A318812-9440-4C79-B8F7-030491DE2924}</x14:id>
        </ext>
      </extLst>
    </cfRule>
  </conditionalFormatting>
  <conditionalFormatting sqref="M36">
    <cfRule type="dataBar" priority="6">
      <dataBar>
        <cfvo type="num" val="0"/>
        <cfvo type="num" val="1"/>
        <color rgb="FFB4A9D4"/>
      </dataBar>
      <extLst>
        <ext xmlns:x14="http://schemas.microsoft.com/office/spreadsheetml/2009/9/main" uri="{B025F937-C7B1-47D3-B67F-A62EFF666E3E}">
          <x14:id>{A6024FFB-14D1-42E2-A613-64E04AB4CD82}</x14:id>
        </ext>
      </extLst>
    </cfRule>
  </conditionalFormatting>
  <conditionalFormatting sqref="B36:G36 I36:K36">
    <cfRule type="dataBar" priority="3">
      <dataBar>
        <cfvo type="num" val="0"/>
        <cfvo type="num" val="1"/>
        <color rgb="FFB4A9D4"/>
      </dataBar>
      <extLst>
        <ext xmlns:x14="http://schemas.microsoft.com/office/spreadsheetml/2009/9/main" uri="{B025F937-C7B1-47D3-B67F-A62EFF666E3E}">
          <x14:id>{AD69E9BC-F351-4D3F-84A1-39D76244516D}</x14:id>
        </ext>
      </extLst>
    </cfRule>
  </conditionalFormatting>
  <conditionalFormatting sqref="H36">
    <cfRule type="dataBar" priority="2">
      <dataBar>
        <cfvo type="num" val="0"/>
        <cfvo type="num" val="1"/>
        <color rgb="FFB4A9D4"/>
      </dataBar>
      <extLst>
        <ext xmlns:x14="http://schemas.microsoft.com/office/spreadsheetml/2009/9/main" uri="{B025F937-C7B1-47D3-B67F-A62EFF666E3E}">
          <x14:id>{44B3C0B1-8FE7-45B0-93DF-530311A54D2B}</x14:id>
        </ext>
      </extLst>
    </cfRule>
  </conditionalFormatting>
  <conditionalFormatting sqref="L36">
    <cfRule type="dataBar" priority="1">
      <dataBar>
        <cfvo type="num" val="0"/>
        <cfvo type="num" val="1"/>
        <color rgb="FFB4A9D4"/>
      </dataBar>
      <extLst>
        <ext xmlns:x14="http://schemas.microsoft.com/office/spreadsheetml/2009/9/main" uri="{B025F937-C7B1-47D3-B67F-A62EFF666E3E}">
          <x14:id>{A61C630B-0164-4D3D-811E-9EF9CA654121}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A318812-9440-4C79-B8F7-030491DE2924}">
            <x14:dataBar minLength="0" maxLength="100" gradient="0">
              <x14:cfvo type="num">
                <xm:f>0</xm:f>
              </x14:cfvo>
              <x14:cfvo type="num">
                <xm:f>1</xm:f>
              </x14:cfvo>
              <x14:negativeFillColor rgb="FFFF0000"/>
              <x14:axisColor rgb="FF000000"/>
            </x14:dataBar>
          </x14:cfRule>
          <xm:sqref>L5:L35</xm:sqref>
        </x14:conditionalFormatting>
        <x14:conditionalFormatting xmlns:xm="http://schemas.microsoft.com/office/excel/2006/main">
          <x14:cfRule type="dataBar" id="{A6024FFB-14D1-42E2-A613-64E04AB4CD82}">
            <x14:dataBar minLength="0" maxLength="100" gradient="0">
              <x14:cfvo type="num">
                <xm:f>0</xm:f>
              </x14:cfvo>
              <x14:cfvo type="num">
                <xm:f>1</xm:f>
              </x14:cfvo>
              <x14:negativeFillColor rgb="FFFF0000"/>
              <x14:axisColor rgb="FF000000"/>
            </x14:dataBar>
          </x14:cfRule>
          <xm:sqref>M36</xm:sqref>
        </x14:conditionalFormatting>
        <x14:conditionalFormatting xmlns:xm="http://schemas.microsoft.com/office/excel/2006/main">
          <x14:cfRule type="dataBar" id="{AD69E9BC-F351-4D3F-84A1-39D76244516D}">
            <x14:dataBar minLength="0" maxLength="100" gradient="0">
              <x14:cfvo type="num">
                <xm:f>0</xm:f>
              </x14:cfvo>
              <x14:cfvo type="num">
                <xm:f>1</xm:f>
              </x14:cfvo>
              <x14:negativeFillColor rgb="FFFF0000"/>
              <x14:axisColor rgb="FF000000"/>
            </x14:dataBar>
          </x14:cfRule>
          <xm:sqref>B36:G36 I36:K36</xm:sqref>
        </x14:conditionalFormatting>
        <x14:conditionalFormatting xmlns:xm="http://schemas.microsoft.com/office/excel/2006/main">
          <x14:cfRule type="dataBar" id="{44B3C0B1-8FE7-45B0-93DF-530311A54D2B}">
            <x14:dataBar minLength="0" maxLength="100" gradient="0">
              <x14:cfvo type="num">
                <xm:f>0</xm:f>
              </x14:cfvo>
              <x14:cfvo type="num">
                <xm:f>1</xm:f>
              </x14:cfvo>
              <x14:negativeFillColor rgb="FFFF0000"/>
              <x14:axisColor rgb="FF000000"/>
            </x14:dataBar>
          </x14:cfRule>
          <xm:sqref>H36</xm:sqref>
        </x14:conditionalFormatting>
        <x14:conditionalFormatting xmlns:xm="http://schemas.microsoft.com/office/excel/2006/main">
          <x14:cfRule type="dataBar" id="{A61C630B-0164-4D3D-811E-9EF9CA654121}">
            <x14:dataBar minLength="0" maxLength="100" gradient="0">
              <x14:cfvo type="num">
                <xm:f>0</xm:f>
              </x14:cfvo>
              <x14:cfvo type="num">
                <xm:f>1</xm:f>
              </x14:cfvo>
              <x14:negativeFillColor rgb="FFFF0000"/>
              <x14:axisColor rgb="FF000000"/>
            </x14:dataBar>
          </x14:cfRule>
          <xm:sqref>L36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53"/>
  <sheetViews>
    <sheetView zoomScale="75" zoomScaleNormal="75" workbookViewId="0">
      <selection activeCell="A25" sqref="A25"/>
    </sheetView>
  </sheetViews>
  <sheetFormatPr defaultRowHeight="14.5" x14ac:dyDescent="0.35"/>
  <cols>
    <col min="1" max="1" width="41" customWidth="1"/>
    <col min="2" max="9" width="15" customWidth="1"/>
    <col min="10" max="10" width="13.1796875" customWidth="1"/>
  </cols>
  <sheetData>
    <row r="1" spans="1:44" ht="21" x14ac:dyDescent="0.5">
      <c r="A1" s="20" t="s">
        <v>320</v>
      </c>
      <c r="B1" s="83"/>
      <c r="C1" s="83"/>
      <c r="D1" s="83"/>
      <c r="E1" s="83"/>
      <c r="F1" s="83"/>
      <c r="G1" s="83"/>
      <c r="H1" s="28"/>
      <c r="I1" s="28"/>
      <c r="J1" s="28"/>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row>
    <row r="2" spans="1:44" ht="15.5" x14ac:dyDescent="0.35">
      <c r="A2" s="80" t="s">
        <v>549</v>
      </c>
      <c r="B2" s="62"/>
      <c r="C2" s="62"/>
      <c r="D2" s="62"/>
      <c r="E2" s="62"/>
      <c r="F2" s="62"/>
      <c r="G2" s="62"/>
      <c r="H2" s="28"/>
      <c r="I2" s="28"/>
      <c r="J2" s="28"/>
      <c r="K2" s="69"/>
      <c r="L2" s="69"/>
      <c r="M2" s="69"/>
      <c r="N2" s="69"/>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row>
    <row r="3" spans="1:44" ht="16.5" customHeight="1" x14ac:dyDescent="0.35">
      <c r="A3" s="25" t="s">
        <v>698</v>
      </c>
      <c r="B3" s="62"/>
      <c r="C3" s="62"/>
      <c r="D3" s="62"/>
      <c r="E3" s="62"/>
      <c r="F3" s="62"/>
      <c r="G3" s="62"/>
      <c r="H3" s="28"/>
      <c r="I3" s="28"/>
      <c r="J3" s="28"/>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ht="77.5" x14ac:dyDescent="0.35">
      <c r="A4" s="37" t="s">
        <v>322</v>
      </c>
      <c r="B4" s="101" t="s">
        <v>321</v>
      </c>
      <c r="C4" s="101" t="s">
        <v>700</v>
      </c>
      <c r="D4" s="101" t="s">
        <v>701</v>
      </c>
      <c r="E4" s="101" t="s">
        <v>702</v>
      </c>
      <c r="F4" s="101" t="s">
        <v>703</v>
      </c>
      <c r="G4" s="101" t="s">
        <v>355</v>
      </c>
      <c r="H4" s="101" t="s">
        <v>356</v>
      </c>
      <c r="I4" s="101" t="s">
        <v>357</v>
      </c>
      <c r="J4" s="101" t="s">
        <v>358</v>
      </c>
      <c r="K4" s="67"/>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ht="15.5" x14ac:dyDescent="0.35">
      <c r="A5" s="152" t="s">
        <v>7</v>
      </c>
      <c r="B5" s="171">
        <v>60770064</v>
      </c>
      <c r="C5" s="160">
        <v>19133364</v>
      </c>
      <c r="D5" s="160">
        <v>14479168</v>
      </c>
      <c r="E5" s="160">
        <v>10437000</v>
      </c>
      <c r="F5" s="160">
        <v>16720533</v>
      </c>
      <c r="G5" s="159">
        <v>0.31</v>
      </c>
      <c r="H5" s="159">
        <v>0.24</v>
      </c>
      <c r="I5" s="159">
        <v>0.17</v>
      </c>
      <c r="J5" s="159">
        <v>0.28000000000000003</v>
      </c>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ht="15.5" x14ac:dyDescent="0.35">
      <c r="A6" s="60" t="s">
        <v>550</v>
      </c>
      <c r="B6" s="172">
        <v>1900474</v>
      </c>
      <c r="C6" s="161">
        <v>623868</v>
      </c>
      <c r="D6" s="161">
        <v>456865</v>
      </c>
      <c r="E6" s="161">
        <v>303000</v>
      </c>
      <c r="F6" s="161">
        <v>516741</v>
      </c>
      <c r="G6" s="74">
        <v>0.33</v>
      </c>
      <c r="H6" s="74">
        <v>0.24</v>
      </c>
      <c r="I6" s="74">
        <v>0.16</v>
      </c>
      <c r="J6" s="74">
        <v>0.27</v>
      </c>
      <c r="K6" s="26"/>
      <c r="L6" s="3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ht="15.5" x14ac:dyDescent="0.35">
      <c r="A7" s="60" t="s">
        <v>551</v>
      </c>
      <c r="B7" s="172">
        <v>1504522</v>
      </c>
      <c r="C7" s="161">
        <v>454611</v>
      </c>
      <c r="D7" s="161">
        <v>378095</v>
      </c>
      <c r="E7" s="161">
        <v>268750</v>
      </c>
      <c r="F7" s="161">
        <v>403066</v>
      </c>
      <c r="G7" s="74">
        <v>0.3</v>
      </c>
      <c r="H7" s="74">
        <v>0.25</v>
      </c>
      <c r="I7" s="74">
        <v>0.18</v>
      </c>
      <c r="J7" s="74">
        <v>0.27</v>
      </c>
      <c r="K7" s="26"/>
      <c r="L7" s="3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ht="15.5" x14ac:dyDescent="0.35">
      <c r="A8" s="60" t="s">
        <v>552</v>
      </c>
      <c r="B8" s="172">
        <v>1225061</v>
      </c>
      <c r="C8" s="161">
        <v>377169</v>
      </c>
      <c r="D8" s="161">
        <v>284328</v>
      </c>
      <c r="E8" s="161">
        <v>226000</v>
      </c>
      <c r="F8" s="161">
        <v>337565</v>
      </c>
      <c r="G8" s="74">
        <v>0.31</v>
      </c>
      <c r="H8" s="74">
        <v>0.23</v>
      </c>
      <c r="I8" s="74">
        <v>0.18</v>
      </c>
      <c r="J8" s="74">
        <v>0.28000000000000003</v>
      </c>
      <c r="K8" s="26"/>
      <c r="L8" s="3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ht="15.5" x14ac:dyDescent="0.35">
      <c r="A9" s="60" t="s">
        <v>553</v>
      </c>
      <c r="B9" s="172">
        <v>690475</v>
      </c>
      <c r="C9" s="161">
        <v>222354</v>
      </c>
      <c r="D9" s="161">
        <v>174533</v>
      </c>
      <c r="E9" s="161">
        <v>132250</v>
      </c>
      <c r="F9" s="161">
        <v>161339</v>
      </c>
      <c r="G9" s="74">
        <v>0.32</v>
      </c>
      <c r="H9" s="74">
        <v>0.25</v>
      </c>
      <c r="I9" s="74">
        <v>0.19</v>
      </c>
      <c r="J9" s="74">
        <v>0.23</v>
      </c>
      <c r="K9" s="26"/>
      <c r="L9" s="3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ht="15.5" x14ac:dyDescent="0.35">
      <c r="A10" s="60" t="s">
        <v>554</v>
      </c>
      <c r="B10" s="172">
        <v>705030</v>
      </c>
      <c r="C10" s="161">
        <v>211254</v>
      </c>
      <c r="D10" s="161">
        <v>163020</v>
      </c>
      <c r="E10" s="161">
        <v>130500</v>
      </c>
      <c r="F10" s="161">
        <v>200256</v>
      </c>
      <c r="G10" s="74">
        <v>0.3</v>
      </c>
      <c r="H10" s="74">
        <v>0.23</v>
      </c>
      <c r="I10" s="74">
        <v>0.19</v>
      </c>
      <c r="J10" s="74">
        <v>0.28000000000000003</v>
      </c>
      <c r="K10" s="26"/>
      <c r="L10" s="3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ht="15.5" x14ac:dyDescent="0.35">
      <c r="A11" s="60" t="s">
        <v>555</v>
      </c>
      <c r="B11" s="172">
        <v>1639943</v>
      </c>
      <c r="C11" s="161">
        <v>503541</v>
      </c>
      <c r="D11" s="161">
        <v>414575</v>
      </c>
      <c r="E11" s="161">
        <v>283750</v>
      </c>
      <c r="F11" s="161">
        <v>438077</v>
      </c>
      <c r="G11" s="74">
        <v>0.31</v>
      </c>
      <c r="H11" s="74">
        <v>0.25</v>
      </c>
      <c r="I11" s="74">
        <v>0.17</v>
      </c>
      <c r="J11" s="74">
        <v>0.27</v>
      </c>
      <c r="K11" s="26"/>
      <c r="L11" s="3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ht="15.5" x14ac:dyDescent="0.35">
      <c r="A12" s="60" t="s">
        <v>556</v>
      </c>
      <c r="B12" s="172">
        <v>2193759</v>
      </c>
      <c r="C12" s="161">
        <v>678723</v>
      </c>
      <c r="D12" s="161">
        <v>511625</v>
      </c>
      <c r="E12" s="161">
        <v>367250</v>
      </c>
      <c r="F12" s="161">
        <v>636161</v>
      </c>
      <c r="G12" s="74">
        <v>0.31</v>
      </c>
      <c r="H12" s="74">
        <v>0.23</v>
      </c>
      <c r="I12" s="74">
        <v>0.17</v>
      </c>
      <c r="J12" s="74">
        <v>0.28999999999999998</v>
      </c>
      <c r="K12" s="26"/>
      <c r="L12" s="3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ht="15.5" x14ac:dyDescent="0.35">
      <c r="A13" s="60" t="s">
        <v>557</v>
      </c>
      <c r="B13" s="172">
        <v>1856684</v>
      </c>
      <c r="C13" s="161">
        <v>594804</v>
      </c>
      <c r="D13" s="161">
        <v>431108</v>
      </c>
      <c r="E13" s="161">
        <v>295000</v>
      </c>
      <c r="F13" s="161">
        <v>535772</v>
      </c>
      <c r="G13" s="74">
        <v>0.32</v>
      </c>
      <c r="H13" s="74">
        <v>0.23</v>
      </c>
      <c r="I13" s="74">
        <v>0.16</v>
      </c>
      <c r="J13" s="74">
        <v>0.28999999999999998</v>
      </c>
      <c r="K13" s="26"/>
      <c r="L13" s="3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ht="15.5" x14ac:dyDescent="0.35">
      <c r="A14" s="60" t="s">
        <v>558</v>
      </c>
      <c r="B14" s="172">
        <v>604048</v>
      </c>
      <c r="C14" s="161">
        <v>183651</v>
      </c>
      <c r="D14" s="161">
        <v>144028</v>
      </c>
      <c r="E14" s="161">
        <v>123000</v>
      </c>
      <c r="F14" s="161">
        <v>153370</v>
      </c>
      <c r="G14" s="74">
        <v>0.3</v>
      </c>
      <c r="H14" s="74">
        <v>0.24</v>
      </c>
      <c r="I14" s="74">
        <v>0.2</v>
      </c>
      <c r="J14" s="74">
        <v>0.25</v>
      </c>
      <c r="K14" s="26"/>
      <c r="L14" s="3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ht="15.5" x14ac:dyDescent="0.35">
      <c r="A15" s="60" t="s">
        <v>559</v>
      </c>
      <c r="B15" s="172">
        <v>1008796</v>
      </c>
      <c r="C15" s="161">
        <v>309975</v>
      </c>
      <c r="D15" s="161">
        <v>240330</v>
      </c>
      <c r="E15" s="161">
        <v>189500</v>
      </c>
      <c r="F15" s="161">
        <v>268991</v>
      </c>
      <c r="G15" s="74">
        <v>0.31</v>
      </c>
      <c r="H15" s="74">
        <v>0.24</v>
      </c>
      <c r="I15" s="74">
        <v>0.19</v>
      </c>
      <c r="J15" s="74">
        <v>0.27</v>
      </c>
      <c r="K15" s="26"/>
      <c r="L15" s="3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ht="15.5" x14ac:dyDescent="0.35">
      <c r="A16" s="60" t="s">
        <v>560</v>
      </c>
      <c r="B16" s="172">
        <v>529413</v>
      </c>
      <c r="C16" s="161">
        <v>169533</v>
      </c>
      <c r="D16" s="161">
        <v>135525</v>
      </c>
      <c r="E16" s="161">
        <v>104250</v>
      </c>
      <c r="F16" s="161">
        <v>120105</v>
      </c>
      <c r="G16" s="74">
        <v>0.32</v>
      </c>
      <c r="H16" s="74">
        <v>0.26</v>
      </c>
      <c r="I16" s="74">
        <v>0.2</v>
      </c>
      <c r="J16" s="74">
        <v>0.23</v>
      </c>
      <c r="K16" s="26"/>
      <c r="L16" s="3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ht="15.5" x14ac:dyDescent="0.35">
      <c r="A17" s="60" t="s">
        <v>561</v>
      </c>
      <c r="B17" s="172">
        <v>3769501</v>
      </c>
      <c r="C17" s="161">
        <v>1189554</v>
      </c>
      <c r="D17" s="161">
        <v>929970</v>
      </c>
      <c r="E17" s="161">
        <v>669000</v>
      </c>
      <c r="F17" s="161">
        <v>980977</v>
      </c>
      <c r="G17" s="74">
        <v>0.32</v>
      </c>
      <c r="H17" s="74">
        <v>0.25</v>
      </c>
      <c r="I17" s="74">
        <v>0.18</v>
      </c>
      <c r="J17" s="74">
        <v>0.26</v>
      </c>
      <c r="K17" s="26"/>
      <c r="L17" s="3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ht="15.5" x14ac:dyDescent="0.35">
      <c r="A18" s="60" t="s">
        <v>562</v>
      </c>
      <c r="B18" s="172">
        <v>1823520</v>
      </c>
      <c r="C18" s="161">
        <v>572493</v>
      </c>
      <c r="D18" s="161">
        <v>429103</v>
      </c>
      <c r="E18" s="161">
        <v>301750</v>
      </c>
      <c r="F18" s="161">
        <v>520175</v>
      </c>
      <c r="G18" s="74">
        <v>0.31</v>
      </c>
      <c r="H18" s="74">
        <v>0.24</v>
      </c>
      <c r="I18" s="74">
        <v>0.17</v>
      </c>
      <c r="J18" s="74">
        <v>0.28999999999999998</v>
      </c>
      <c r="K18" s="26"/>
      <c r="L18" s="3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ht="15.5" x14ac:dyDescent="0.35">
      <c r="A19" s="60" t="s">
        <v>563</v>
      </c>
      <c r="B19" s="172">
        <v>4688490</v>
      </c>
      <c r="C19" s="161">
        <v>1482126</v>
      </c>
      <c r="D19" s="161">
        <v>1095833</v>
      </c>
      <c r="E19" s="161">
        <v>781250</v>
      </c>
      <c r="F19" s="161">
        <v>1329281</v>
      </c>
      <c r="G19" s="74">
        <v>0.32</v>
      </c>
      <c r="H19" s="74">
        <v>0.23</v>
      </c>
      <c r="I19" s="74">
        <v>0.17</v>
      </c>
      <c r="J19" s="74">
        <v>0.28000000000000003</v>
      </c>
      <c r="K19" s="26"/>
      <c r="L19" s="3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ht="15.5" x14ac:dyDescent="0.35">
      <c r="A20" s="60" t="s">
        <v>564</v>
      </c>
      <c r="B20" s="172">
        <v>10184781</v>
      </c>
      <c r="C20" s="161">
        <v>3272364</v>
      </c>
      <c r="D20" s="161">
        <v>2386818</v>
      </c>
      <c r="E20" s="161">
        <v>1738250</v>
      </c>
      <c r="F20" s="161">
        <v>2787350</v>
      </c>
      <c r="G20" s="74">
        <v>0.32</v>
      </c>
      <c r="H20" s="74">
        <v>0.23</v>
      </c>
      <c r="I20" s="74">
        <v>0.17</v>
      </c>
      <c r="J20" s="74">
        <v>0.27</v>
      </c>
      <c r="K20" s="26"/>
      <c r="L20" s="3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ht="15.5" x14ac:dyDescent="0.35">
      <c r="A21" s="60" t="s">
        <v>565</v>
      </c>
      <c r="B21" s="172">
        <v>2083799</v>
      </c>
      <c r="C21" s="161">
        <v>661353</v>
      </c>
      <c r="D21" s="161">
        <v>505363</v>
      </c>
      <c r="E21" s="161">
        <v>355250</v>
      </c>
      <c r="F21" s="161">
        <v>561833</v>
      </c>
      <c r="G21" s="74">
        <v>0.32</v>
      </c>
      <c r="H21" s="74">
        <v>0.24</v>
      </c>
      <c r="I21" s="74">
        <v>0.17</v>
      </c>
      <c r="J21" s="74">
        <v>0.27</v>
      </c>
      <c r="K21" s="26"/>
      <c r="L21" s="3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ht="15.5" x14ac:dyDescent="0.35">
      <c r="A22" s="60" t="s">
        <v>566</v>
      </c>
      <c r="B22" s="172">
        <v>1057901</v>
      </c>
      <c r="C22" s="161">
        <v>327990</v>
      </c>
      <c r="D22" s="161">
        <v>245560</v>
      </c>
      <c r="E22" s="161">
        <v>170000</v>
      </c>
      <c r="F22" s="161">
        <v>314351</v>
      </c>
      <c r="G22" s="74">
        <v>0.31</v>
      </c>
      <c r="H22" s="74">
        <v>0.23</v>
      </c>
      <c r="I22" s="74">
        <v>0.16</v>
      </c>
      <c r="J22" s="74">
        <v>0.3</v>
      </c>
      <c r="K22" s="26"/>
      <c r="L22" s="3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ht="15.5" x14ac:dyDescent="0.35">
      <c r="A23" s="60" t="s">
        <v>567</v>
      </c>
      <c r="B23" s="172">
        <v>1115560</v>
      </c>
      <c r="C23" s="161">
        <v>336132</v>
      </c>
      <c r="D23" s="161">
        <v>277325</v>
      </c>
      <c r="E23" s="161">
        <v>194250</v>
      </c>
      <c r="F23" s="161">
        <v>307853</v>
      </c>
      <c r="G23" s="74">
        <v>0.3</v>
      </c>
      <c r="H23" s="74">
        <v>0.25</v>
      </c>
      <c r="I23" s="74">
        <v>0.17</v>
      </c>
      <c r="J23" s="74">
        <v>0.28000000000000003</v>
      </c>
      <c r="K23" s="26"/>
      <c r="L23" s="3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ht="15.5" x14ac:dyDescent="0.35">
      <c r="A24" s="60" t="s">
        <v>568</v>
      </c>
      <c r="B24" s="172">
        <v>850504</v>
      </c>
      <c r="C24" s="161">
        <v>269178</v>
      </c>
      <c r="D24" s="161">
        <v>200540</v>
      </c>
      <c r="E24" s="161">
        <v>156250</v>
      </c>
      <c r="F24" s="161">
        <v>224536</v>
      </c>
      <c r="G24" s="74">
        <v>0.32</v>
      </c>
      <c r="H24" s="74">
        <v>0.24</v>
      </c>
      <c r="I24" s="74">
        <v>0.18</v>
      </c>
      <c r="J24" s="74">
        <v>0.26</v>
      </c>
      <c r="K24" s="26"/>
      <c r="L24" s="3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ht="15.5" x14ac:dyDescent="0.35">
      <c r="A25" s="60" t="s">
        <v>569</v>
      </c>
      <c r="B25" s="172">
        <v>177938</v>
      </c>
      <c r="C25" s="161">
        <v>59412</v>
      </c>
      <c r="D25" s="161">
        <v>45760</v>
      </c>
      <c r="E25" s="161">
        <v>32000</v>
      </c>
      <c r="F25" s="161">
        <v>40766</v>
      </c>
      <c r="G25" s="74">
        <v>0.33</v>
      </c>
      <c r="H25" s="74">
        <v>0.26</v>
      </c>
      <c r="I25" s="74">
        <v>0.18</v>
      </c>
      <c r="J25" s="74">
        <v>0.23</v>
      </c>
      <c r="K25" s="26"/>
      <c r="L25" s="3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ht="15.5" x14ac:dyDescent="0.35">
      <c r="A26" s="60" t="s">
        <v>570</v>
      </c>
      <c r="B26" s="172">
        <v>2085870</v>
      </c>
      <c r="C26" s="161">
        <v>642504</v>
      </c>
      <c r="D26" s="161">
        <v>494355</v>
      </c>
      <c r="E26" s="161">
        <v>339000</v>
      </c>
      <c r="F26" s="161">
        <v>610011</v>
      </c>
      <c r="G26" s="74">
        <v>0.31</v>
      </c>
      <c r="H26" s="74">
        <v>0.24</v>
      </c>
      <c r="I26" s="74">
        <v>0.16</v>
      </c>
      <c r="J26" s="74">
        <v>0.28999999999999998</v>
      </c>
      <c r="K26" s="26"/>
      <c r="L26" s="3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ht="15.5" x14ac:dyDescent="0.35">
      <c r="A27" s="60" t="s">
        <v>571</v>
      </c>
      <c r="B27" s="172">
        <v>4924898</v>
      </c>
      <c r="C27" s="161">
        <v>1554111</v>
      </c>
      <c r="D27" s="161">
        <v>1144258</v>
      </c>
      <c r="E27" s="161">
        <v>829750</v>
      </c>
      <c r="F27" s="161">
        <v>1396780</v>
      </c>
      <c r="G27" s="74">
        <v>0.32</v>
      </c>
      <c r="H27" s="74">
        <v>0.23</v>
      </c>
      <c r="I27" s="74">
        <v>0.17</v>
      </c>
      <c r="J27" s="74">
        <v>0.28000000000000003</v>
      </c>
      <c r="K27" s="26"/>
      <c r="L27" s="3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ht="15.5" x14ac:dyDescent="0.35">
      <c r="A28" s="60" t="s">
        <v>572</v>
      </c>
      <c r="B28" s="172">
        <v>123210</v>
      </c>
      <c r="C28" s="161">
        <v>42000</v>
      </c>
      <c r="D28" s="161">
        <v>31258</v>
      </c>
      <c r="E28" s="161">
        <v>27750</v>
      </c>
      <c r="F28" s="161">
        <v>22202</v>
      </c>
      <c r="G28" s="74">
        <v>0.34</v>
      </c>
      <c r="H28" s="74">
        <v>0.25</v>
      </c>
      <c r="I28" s="74">
        <v>0.23</v>
      </c>
      <c r="J28" s="74">
        <v>0.18</v>
      </c>
      <c r="K28" s="26"/>
      <c r="L28" s="3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ht="15.5" x14ac:dyDescent="0.35">
      <c r="A29" s="60" t="s">
        <v>573</v>
      </c>
      <c r="B29" s="172">
        <v>1251671</v>
      </c>
      <c r="C29" s="161">
        <v>406938</v>
      </c>
      <c r="D29" s="161">
        <v>311090</v>
      </c>
      <c r="E29" s="161">
        <v>219500</v>
      </c>
      <c r="F29" s="161">
        <v>314143</v>
      </c>
      <c r="G29" s="74">
        <v>0.33</v>
      </c>
      <c r="H29" s="74">
        <v>0.25</v>
      </c>
      <c r="I29" s="74">
        <v>0.18</v>
      </c>
      <c r="J29" s="74">
        <v>0.25</v>
      </c>
      <c r="K29" s="26"/>
      <c r="L29" s="3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ht="15.5" x14ac:dyDescent="0.35">
      <c r="A30" s="60" t="s">
        <v>574</v>
      </c>
      <c r="B30" s="172">
        <v>2015210</v>
      </c>
      <c r="C30" s="161">
        <v>644541</v>
      </c>
      <c r="D30" s="161">
        <v>502080</v>
      </c>
      <c r="E30" s="161">
        <v>346000</v>
      </c>
      <c r="F30" s="161">
        <v>522589</v>
      </c>
      <c r="G30" s="74">
        <v>0.32</v>
      </c>
      <c r="H30" s="74">
        <v>0.25</v>
      </c>
      <c r="I30" s="74">
        <v>0.17</v>
      </c>
      <c r="J30" s="74">
        <v>0.26</v>
      </c>
      <c r="K30" s="26"/>
      <c r="L30" s="3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ht="15.5" x14ac:dyDescent="0.35">
      <c r="A31" s="60" t="s">
        <v>575</v>
      </c>
      <c r="B31" s="172">
        <v>1003532</v>
      </c>
      <c r="C31" s="161">
        <v>312678</v>
      </c>
      <c r="D31" s="161">
        <v>252070</v>
      </c>
      <c r="E31" s="161">
        <v>190750</v>
      </c>
      <c r="F31" s="161">
        <v>248034</v>
      </c>
      <c r="G31" s="74">
        <v>0.31</v>
      </c>
      <c r="H31" s="74">
        <v>0.25</v>
      </c>
      <c r="I31" s="74">
        <v>0.19</v>
      </c>
      <c r="J31" s="74">
        <v>0.25</v>
      </c>
      <c r="K31" s="26"/>
      <c r="L31" s="3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ht="15.5" x14ac:dyDescent="0.35">
      <c r="A32" s="60" t="s">
        <v>576</v>
      </c>
      <c r="B32" s="172">
        <v>115666</v>
      </c>
      <c r="C32" s="161">
        <v>33006</v>
      </c>
      <c r="D32" s="161">
        <v>33500</v>
      </c>
      <c r="E32" s="161">
        <v>22750</v>
      </c>
      <c r="F32" s="161">
        <v>26410</v>
      </c>
      <c r="G32" s="74">
        <v>0.28999999999999998</v>
      </c>
      <c r="H32" s="74">
        <v>0.28999999999999998</v>
      </c>
      <c r="I32" s="74">
        <v>0.2</v>
      </c>
      <c r="J32" s="74">
        <v>0.23</v>
      </c>
      <c r="K32" s="26"/>
      <c r="L32" s="3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ht="15.5" x14ac:dyDescent="0.35">
      <c r="A33" s="60" t="s">
        <v>577</v>
      </c>
      <c r="B33" s="172">
        <v>1227090</v>
      </c>
      <c r="C33" s="161">
        <v>380784</v>
      </c>
      <c r="D33" s="161">
        <v>293808</v>
      </c>
      <c r="E33" s="161">
        <v>217250</v>
      </c>
      <c r="F33" s="161">
        <v>335249</v>
      </c>
      <c r="G33" s="74">
        <v>0.31</v>
      </c>
      <c r="H33" s="74">
        <v>0.24</v>
      </c>
      <c r="I33" s="74">
        <v>0.18</v>
      </c>
      <c r="J33" s="74">
        <v>0.27</v>
      </c>
      <c r="K33" s="26"/>
      <c r="L33" s="3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ht="15.5" x14ac:dyDescent="0.35">
      <c r="A34" s="60" t="s">
        <v>578</v>
      </c>
      <c r="B34" s="172">
        <v>3691290</v>
      </c>
      <c r="C34" s="161">
        <v>1182603</v>
      </c>
      <c r="D34" s="161">
        <v>882483</v>
      </c>
      <c r="E34" s="161">
        <v>620000</v>
      </c>
      <c r="F34" s="161">
        <v>1006205</v>
      </c>
      <c r="G34" s="74">
        <v>0.32</v>
      </c>
      <c r="H34" s="74">
        <v>0.24</v>
      </c>
      <c r="I34" s="74">
        <v>0.17</v>
      </c>
      <c r="J34" s="74">
        <v>0.27</v>
      </c>
      <c r="K34" s="26"/>
      <c r="L34" s="3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ht="15.5" x14ac:dyDescent="0.35">
      <c r="A35" s="60" t="s">
        <v>579</v>
      </c>
      <c r="B35" s="172">
        <v>712304</v>
      </c>
      <c r="C35" s="161">
        <v>228972</v>
      </c>
      <c r="D35" s="161">
        <v>162790</v>
      </c>
      <c r="E35" s="161">
        <v>115250</v>
      </c>
      <c r="F35" s="161">
        <v>205292</v>
      </c>
      <c r="G35" s="74">
        <v>0.32</v>
      </c>
      <c r="H35" s="74">
        <v>0.23</v>
      </c>
      <c r="I35" s="74">
        <v>0.16</v>
      </c>
      <c r="J35" s="74">
        <v>0.28999999999999998</v>
      </c>
      <c r="K35" s="26"/>
      <c r="L35" s="3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ht="15.5" x14ac:dyDescent="0.35">
      <c r="A36" s="60" t="s">
        <v>580</v>
      </c>
      <c r="B36" s="172">
        <v>1443022</v>
      </c>
      <c r="C36" s="161">
        <v>459165</v>
      </c>
      <c r="D36" s="161">
        <v>341578</v>
      </c>
      <c r="E36" s="161">
        <v>251250</v>
      </c>
      <c r="F36" s="161">
        <v>391030</v>
      </c>
      <c r="G36" s="74">
        <v>0.32</v>
      </c>
      <c r="H36" s="74">
        <v>0.24</v>
      </c>
      <c r="I36" s="74">
        <v>0.17</v>
      </c>
      <c r="J36" s="74">
        <v>0.27</v>
      </c>
      <c r="K36" s="26"/>
      <c r="L36" s="3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ht="15.5" x14ac:dyDescent="0.35">
      <c r="A37" s="60" t="s">
        <v>581</v>
      </c>
      <c r="B37" s="172">
        <v>2271084</v>
      </c>
      <c r="C37" s="161">
        <v>680871</v>
      </c>
      <c r="D37" s="161">
        <v>554350</v>
      </c>
      <c r="E37" s="161">
        <v>423000</v>
      </c>
      <c r="F37" s="161">
        <v>612863</v>
      </c>
      <c r="G37" s="74">
        <v>0.3</v>
      </c>
      <c r="H37" s="74">
        <v>0.24</v>
      </c>
      <c r="I37" s="74">
        <v>0.19</v>
      </c>
      <c r="J37" s="74">
        <v>0.27</v>
      </c>
      <c r="K37" s="26"/>
      <c r="L37" s="3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ht="15.5" x14ac:dyDescent="0.35">
      <c r="A38" s="60" t="s">
        <v>582</v>
      </c>
      <c r="B38" s="172">
        <v>243091</v>
      </c>
      <c r="C38" s="161">
        <v>42606</v>
      </c>
      <c r="D38" s="161">
        <v>15750</v>
      </c>
      <c r="E38" s="161">
        <v>8500</v>
      </c>
      <c r="F38" s="161">
        <v>176235</v>
      </c>
      <c r="G38" s="74">
        <v>0.18</v>
      </c>
      <c r="H38" s="74">
        <v>0.06</v>
      </c>
      <c r="I38" s="74">
        <v>0.03</v>
      </c>
      <c r="J38" s="74">
        <v>0.72</v>
      </c>
      <c r="K38" s="26"/>
      <c r="L38" s="3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ht="15.5" x14ac:dyDescent="0.35">
      <c r="A39" s="60" t="s">
        <v>583</v>
      </c>
      <c r="B39" s="172">
        <v>48976</v>
      </c>
      <c r="C39" s="161">
        <v>21000</v>
      </c>
      <c r="D39" s="161">
        <v>9250</v>
      </c>
      <c r="E39" s="161">
        <v>4250</v>
      </c>
      <c r="F39" s="161">
        <v>14476</v>
      </c>
      <c r="G39" s="74">
        <v>0.43</v>
      </c>
      <c r="H39" s="74">
        <v>0.19</v>
      </c>
      <c r="I39" s="74">
        <v>0.09</v>
      </c>
      <c r="J39" s="74">
        <v>0.3</v>
      </c>
      <c r="K39" s="78"/>
      <c r="L39" s="3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ht="20.149999999999999" customHeight="1" x14ac:dyDescent="0.35">
      <c r="A40" s="60" t="s">
        <v>584</v>
      </c>
      <c r="B40" s="172">
        <v>2955</v>
      </c>
      <c r="C40" s="161">
        <v>1500</v>
      </c>
      <c r="D40" s="161">
        <v>250</v>
      </c>
      <c r="E40" s="161">
        <v>750</v>
      </c>
      <c r="F40" s="161">
        <v>455</v>
      </c>
      <c r="G40" s="74">
        <v>0.51</v>
      </c>
      <c r="H40" s="74">
        <v>0.08</v>
      </c>
      <c r="I40" s="74">
        <v>0.25</v>
      </c>
      <c r="J40" s="74">
        <v>0.15</v>
      </c>
      <c r="K40" s="78"/>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ht="205.5" customHeight="1" x14ac:dyDescent="0.35">
      <c r="A41" s="27" t="s">
        <v>323</v>
      </c>
      <c r="B41" s="26"/>
      <c r="C41" s="26"/>
      <c r="D41" s="26"/>
      <c r="E41" s="26"/>
      <c r="F41" s="26"/>
      <c r="G41" s="26"/>
      <c r="H41" s="26"/>
      <c r="I41" s="26"/>
      <c r="J41" s="26"/>
      <c r="K41" s="26"/>
      <c r="L41" s="26"/>
      <c r="M41" s="26"/>
      <c r="N41" s="78"/>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ht="144" customHeight="1" x14ac:dyDescent="0.35">
      <c r="A42" s="27" t="s">
        <v>80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4" ht="15.5" x14ac:dyDescent="0.35">
      <c r="A43" s="26" t="s">
        <v>81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spans="1:44" ht="15.5" x14ac:dyDescent="0.35">
      <c r="A44" s="26" t="s">
        <v>699</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spans="1:44" ht="15.5" x14ac:dyDescent="0.35">
      <c r="A45" s="26" t="s">
        <v>324</v>
      </c>
      <c r="B45" s="26"/>
      <c r="C45" s="26"/>
      <c r="D45" s="26"/>
      <c r="E45" s="26"/>
      <c r="F45" s="26"/>
      <c r="G45" s="26"/>
      <c r="H45" s="26"/>
      <c r="I45" s="26"/>
      <c r="J45" s="26"/>
      <c r="K45" s="26"/>
      <c r="L45" s="26"/>
      <c r="M45" s="26"/>
      <c r="N45" s="78"/>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spans="1:44" ht="15.5" x14ac:dyDescent="0.35">
      <c r="A46" s="45" t="s">
        <v>8</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row>
    <row r="47" spans="1:44" ht="15.5" x14ac:dyDescent="0.3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44" ht="15.5" x14ac:dyDescent="0.3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ht="15.5" x14ac:dyDescent="0.3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ht="15.5" x14ac:dyDescent="0.3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ht="15.5" x14ac:dyDescent="0.3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ht="15.5" x14ac:dyDescent="0.3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1:44" ht="15.5" x14ac:dyDescent="0.3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sheetData>
  <conditionalFormatting sqref="G5:J40">
    <cfRule type="dataBar" priority="6">
      <dataBar>
        <cfvo type="num" val="0"/>
        <cfvo type="num" val="1"/>
        <color rgb="FFB4A9D4"/>
      </dataBar>
      <extLst>
        <ext xmlns:x14="http://schemas.microsoft.com/office/spreadsheetml/2009/9/main" uri="{B025F937-C7B1-47D3-B67F-A62EFF666E3E}">
          <x14:id>{4EF5EBC2-E626-4207-BF26-52310A9D7E8C}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5EBC2-E626-4207-BF26-52310A9D7E8C}">
            <x14:dataBar minLength="0" maxLength="100" gradient="0">
              <x14:cfvo type="num">
                <xm:f>0</xm:f>
              </x14:cfvo>
              <x14:cfvo type="num">
                <xm:f>1</xm:f>
              </x14:cfvo>
              <x14:negativeFillColor rgb="FFFF0000"/>
              <x14:axisColor rgb="FF000000"/>
            </x14:dataBar>
          </x14:cfRule>
          <xm:sqref>G5:J40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I53"/>
  <sheetViews>
    <sheetView zoomScale="75" zoomScaleNormal="75" workbookViewId="0"/>
  </sheetViews>
  <sheetFormatPr defaultRowHeight="14.5" x14ac:dyDescent="0.35"/>
  <cols>
    <col min="1" max="1" width="39.81640625" customWidth="1"/>
    <col min="2" max="10" width="19.1796875" customWidth="1"/>
    <col min="11" max="11" width="16.81640625" customWidth="1"/>
  </cols>
  <sheetData>
    <row r="1" spans="1:35" ht="21" x14ac:dyDescent="0.5">
      <c r="A1" s="20" t="s">
        <v>42</v>
      </c>
      <c r="B1" s="83"/>
      <c r="C1" s="83"/>
      <c r="D1" s="83"/>
      <c r="E1" s="83"/>
      <c r="F1" s="83"/>
      <c r="G1" s="83"/>
      <c r="H1" s="28"/>
      <c r="I1" s="28"/>
      <c r="J1" s="28"/>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5" x14ac:dyDescent="0.35">
      <c r="A2" s="80" t="s">
        <v>325</v>
      </c>
      <c r="B2" s="62"/>
      <c r="C2" s="62"/>
      <c r="D2" s="62"/>
      <c r="E2" s="62"/>
      <c r="F2" s="62"/>
      <c r="G2" s="62"/>
      <c r="H2" s="28"/>
      <c r="I2" s="28"/>
      <c r="J2" s="28"/>
      <c r="K2" s="69"/>
      <c r="L2" s="69"/>
      <c r="M2" s="69"/>
      <c r="N2" s="69"/>
      <c r="O2" s="26"/>
      <c r="P2" s="26"/>
      <c r="Q2" s="26"/>
      <c r="R2" s="26"/>
      <c r="S2" s="26"/>
      <c r="T2" s="26"/>
      <c r="U2" s="26"/>
      <c r="V2" s="26"/>
      <c r="W2" s="26"/>
      <c r="X2" s="26"/>
      <c r="Y2" s="26"/>
      <c r="Z2" s="26"/>
      <c r="AA2" s="26"/>
      <c r="AB2" s="26"/>
      <c r="AC2" s="26"/>
      <c r="AD2" s="26"/>
      <c r="AE2" s="26"/>
      <c r="AF2" s="26"/>
      <c r="AG2" s="26"/>
      <c r="AH2" s="26"/>
      <c r="AI2" s="26"/>
    </row>
    <row r="3" spans="1:35" s="8" customFormat="1" ht="16.5" customHeight="1" x14ac:dyDescent="0.35">
      <c r="A3" s="25" t="s">
        <v>310</v>
      </c>
      <c r="B3" s="62"/>
      <c r="C3" s="62"/>
      <c r="D3" s="62"/>
      <c r="E3" s="62"/>
      <c r="F3" s="62"/>
      <c r="G3" s="62"/>
      <c r="H3" s="28"/>
      <c r="I3" s="28"/>
      <c r="J3" s="28"/>
      <c r="K3" s="69"/>
      <c r="L3" s="69"/>
      <c r="M3" s="69"/>
      <c r="N3" s="69"/>
      <c r="O3" s="26"/>
      <c r="P3" s="26"/>
      <c r="Q3" s="26"/>
      <c r="R3" s="26"/>
      <c r="S3" s="26"/>
      <c r="T3" s="26"/>
      <c r="U3" s="26"/>
      <c r="V3" s="26"/>
      <c r="W3" s="26"/>
      <c r="X3" s="26"/>
      <c r="Y3" s="26"/>
      <c r="Z3" s="26"/>
      <c r="AA3" s="26"/>
      <c r="AB3" s="26"/>
      <c r="AC3" s="26"/>
      <c r="AD3" s="26"/>
      <c r="AE3" s="26"/>
      <c r="AF3" s="26"/>
      <c r="AG3" s="26"/>
      <c r="AH3" s="26"/>
      <c r="AI3" s="26"/>
    </row>
    <row r="4" spans="1:35" ht="62" x14ac:dyDescent="0.35">
      <c r="A4" s="37" t="s">
        <v>709</v>
      </c>
      <c r="B4" s="31" t="s">
        <v>712</v>
      </c>
      <c r="C4" s="31" t="s">
        <v>713</v>
      </c>
      <c r="D4" s="31" t="s">
        <v>714</v>
      </c>
      <c r="E4" s="31" t="s">
        <v>715</v>
      </c>
      <c r="F4" s="31" t="s">
        <v>716</v>
      </c>
      <c r="G4" s="31" t="s">
        <v>355</v>
      </c>
      <c r="H4" s="31" t="s">
        <v>356</v>
      </c>
      <c r="I4" s="31" t="s">
        <v>357</v>
      </c>
      <c r="J4" s="31" t="s">
        <v>358</v>
      </c>
      <c r="K4" s="67"/>
      <c r="L4" s="26"/>
      <c r="M4" s="26"/>
      <c r="N4" s="26"/>
      <c r="O4" s="26"/>
      <c r="P4" s="26"/>
      <c r="Q4" s="26"/>
      <c r="R4" s="26"/>
      <c r="S4" s="26"/>
      <c r="T4" s="26"/>
      <c r="U4" s="26"/>
      <c r="V4" s="26"/>
      <c r="W4" s="26"/>
      <c r="X4" s="26"/>
      <c r="Y4" s="26"/>
      <c r="Z4" s="26"/>
      <c r="AA4" s="26"/>
      <c r="AB4" s="26"/>
      <c r="AC4" s="26"/>
      <c r="AD4" s="26"/>
      <c r="AE4" s="26"/>
      <c r="AF4" s="26"/>
      <c r="AG4" s="26"/>
      <c r="AH4" s="26"/>
      <c r="AI4" s="26"/>
    </row>
    <row r="5" spans="1:35" ht="15.5" x14ac:dyDescent="0.35">
      <c r="A5" s="33" t="s">
        <v>7</v>
      </c>
      <c r="B5" s="162">
        <v>60770064</v>
      </c>
      <c r="C5" s="162">
        <v>19133364</v>
      </c>
      <c r="D5" s="162">
        <v>14479168</v>
      </c>
      <c r="E5" s="162">
        <v>10437000</v>
      </c>
      <c r="F5" s="162">
        <v>16720533</v>
      </c>
      <c r="G5" s="95">
        <v>0.31</v>
      </c>
      <c r="H5" s="95">
        <v>0.24</v>
      </c>
      <c r="I5" s="95">
        <v>0.17</v>
      </c>
      <c r="J5" s="96">
        <v>0.28000000000000003</v>
      </c>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ht="15.5" x14ac:dyDescent="0.35">
      <c r="A6" s="34" t="s">
        <v>278</v>
      </c>
      <c r="B6" s="157">
        <v>421800</v>
      </c>
      <c r="C6" s="158">
        <v>421800</v>
      </c>
      <c r="D6" s="158">
        <v>0</v>
      </c>
      <c r="E6" s="158">
        <v>0</v>
      </c>
      <c r="F6" s="158">
        <v>0</v>
      </c>
      <c r="G6" s="74">
        <v>1</v>
      </c>
      <c r="H6" s="74">
        <v>0</v>
      </c>
      <c r="I6" s="74">
        <v>0</v>
      </c>
      <c r="J6" s="74">
        <v>0</v>
      </c>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ht="15.5" x14ac:dyDescent="0.35">
      <c r="A7" s="34" t="s">
        <v>279</v>
      </c>
      <c r="B7" s="157">
        <v>2132700</v>
      </c>
      <c r="C7" s="158">
        <v>2132700</v>
      </c>
      <c r="D7" s="158">
        <v>0</v>
      </c>
      <c r="E7" s="158">
        <v>0</v>
      </c>
      <c r="F7" s="158">
        <v>0</v>
      </c>
      <c r="G7" s="74">
        <v>1</v>
      </c>
      <c r="H7" s="74">
        <v>0</v>
      </c>
      <c r="I7" s="74">
        <v>0</v>
      </c>
      <c r="J7" s="74">
        <v>0</v>
      </c>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ht="15.5" x14ac:dyDescent="0.35">
      <c r="A8" s="34" t="s">
        <v>280</v>
      </c>
      <c r="B8" s="157">
        <v>705900</v>
      </c>
      <c r="C8" s="158">
        <v>705900</v>
      </c>
      <c r="D8" s="158">
        <v>0</v>
      </c>
      <c r="E8" s="158">
        <v>0</v>
      </c>
      <c r="F8" s="158">
        <v>0</v>
      </c>
      <c r="G8" s="74">
        <v>1</v>
      </c>
      <c r="H8" s="74">
        <v>0</v>
      </c>
      <c r="I8" s="74">
        <v>0</v>
      </c>
      <c r="J8" s="74">
        <v>0</v>
      </c>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ht="15.5" x14ac:dyDescent="0.35">
      <c r="A9" s="34" t="s">
        <v>283</v>
      </c>
      <c r="B9" s="157">
        <v>811800</v>
      </c>
      <c r="C9" s="158">
        <v>811800</v>
      </c>
      <c r="D9" s="158">
        <v>0</v>
      </c>
      <c r="E9" s="158">
        <v>0</v>
      </c>
      <c r="F9" s="158">
        <v>0</v>
      </c>
      <c r="G9" s="74">
        <v>1</v>
      </c>
      <c r="H9" s="74">
        <v>0</v>
      </c>
      <c r="I9" s="74">
        <v>0</v>
      </c>
      <c r="J9" s="74">
        <v>0</v>
      </c>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ht="15.5" x14ac:dyDescent="0.35">
      <c r="A10" s="34" t="s">
        <v>284</v>
      </c>
      <c r="B10" s="157">
        <v>692400</v>
      </c>
      <c r="C10" s="158">
        <v>692400</v>
      </c>
      <c r="D10" s="158">
        <v>0</v>
      </c>
      <c r="E10" s="158">
        <v>0</v>
      </c>
      <c r="F10" s="158">
        <v>0</v>
      </c>
      <c r="G10" s="74">
        <v>1</v>
      </c>
      <c r="H10" s="74">
        <v>0</v>
      </c>
      <c r="I10" s="74">
        <v>0</v>
      </c>
      <c r="J10" s="74">
        <v>0</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ht="15.5" x14ac:dyDescent="0.35">
      <c r="A11" s="34" t="s">
        <v>285</v>
      </c>
      <c r="B11" s="157">
        <v>3401350</v>
      </c>
      <c r="C11" s="158">
        <v>680100</v>
      </c>
      <c r="D11" s="158">
        <v>2721250</v>
      </c>
      <c r="E11" s="158">
        <v>0</v>
      </c>
      <c r="F11" s="158">
        <v>0</v>
      </c>
      <c r="G11" s="74">
        <v>0.2</v>
      </c>
      <c r="H11" s="74">
        <v>0.8</v>
      </c>
      <c r="I11" s="74">
        <v>0</v>
      </c>
      <c r="J11" s="74">
        <v>0</v>
      </c>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5.5" x14ac:dyDescent="0.35">
      <c r="A12" s="34" t="s">
        <v>286</v>
      </c>
      <c r="B12" s="157">
        <v>4034050</v>
      </c>
      <c r="C12" s="158">
        <v>589800</v>
      </c>
      <c r="D12" s="158">
        <v>1393250</v>
      </c>
      <c r="E12" s="158">
        <v>2051000</v>
      </c>
      <c r="F12" s="158">
        <v>0</v>
      </c>
      <c r="G12" s="74">
        <v>0.15</v>
      </c>
      <c r="H12" s="74">
        <v>0.35</v>
      </c>
      <c r="I12" s="74">
        <v>0.51</v>
      </c>
      <c r="J12" s="74">
        <v>0</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5" x14ac:dyDescent="0.35">
      <c r="A13" s="34" t="s">
        <v>287</v>
      </c>
      <c r="B13" s="157">
        <v>3243000</v>
      </c>
      <c r="C13" s="158">
        <v>714000</v>
      </c>
      <c r="D13" s="158">
        <v>1106500</v>
      </c>
      <c r="E13" s="158">
        <v>1422500</v>
      </c>
      <c r="F13" s="158">
        <v>0</v>
      </c>
      <c r="G13" s="74">
        <v>0.22</v>
      </c>
      <c r="H13" s="74">
        <v>0.34</v>
      </c>
      <c r="I13" s="74">
        <v>0.44</v>
      </c>
      <c r="J13" s="74">
        <v>0</v>
      </c>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ht="15.5" x14ac:dyDescent="0.35">
      <c r="A14" s="34" t="s">
        <v>288</v>
      </c>
      <c r="B14" s="157">
        <v>1373900</v>
      </c>
      <c r="C14" s="158">
        <v>576900</v>
      </c>
      <c r="D14" s="158">
        <v>447250</v>
      </c>
      <c r="E14" s="158">
        <v>349750</v>
      </c>
      <c r="F14" s="158">
        <v>0</v>
      </c>
      <c r="G14" s="74">
        <v>0.42</v>
      </c>
      <c r="H14" s="74">
        <v>0.33</v>
      </c>
      <c r="I14" s="74">
        <v>0.25</v>
      </c>
      <c r="J14" s="74">
        <v>0</v>
      </c>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15.5" x14ac:dyDescent="0.35">
      <c r="A15" s="34" t="s">
        <v>289</v>
      </c>
      <c r="B15" s="157">
        <v>995921</v>
      </c>
      <c r="C15" s="158">
        <v>422700</v>
      </c>
      <c r="D15" s="158">
        <v>329000</v>
      </c>
      <c r="E15" s="158">
        <v>171750</v>
      </c>
      <c r="F15" s="158">
        <v>72471</v>
      </c>
      <c r="G15" s="74">
        <v>0.42</v>
      </c>
      <c r="H15" s="74">
        <v>0.33</v>
      </c>
      <c r="I15" s="74">
        <v>0.17</v>
      </c>
      <c r="J15" s="74">
        <v>7.0000000000000007E-2</v>
      </c>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ht="15.5" x14ac:dyDescent="0.35">
      <c r="A16" s="34" t="s">
        <v>290</v>
      </c>
      <c r="B16" s="157">
        <v>1145684</v>
      </c>
      <c r="C16" s="158">
        <v>486900</v>
      </c>
      <c r="D16" s="158">
        <v>332500</v>
      </c>
      <c r="E16" s="158">
        <v>103750</v>
      </c>
      <c r="F16" s="158">
        <v>222534</v>
      </c>
      <c r="G16" s="74">
        <v>0.42</v>
      </c>
      <c r="H16" s="74">
        <v>0.28999999999999998</v>
      </c>
      <c r="I16" s="74">
        <v>0.09</v>
      </c>
      <c r="J16" s="74">
        <v>0.19</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35" ht="15.5" x14ac:dyDescent="0.35">
      <c r="A17" s="34" t="s">
        <v>291</v>
      </c>
      <c r="B17" s="157">
        <v>1276632</v>
      </c>
      <c r="C17" s="158">
        <v>540000</v>
      </c>
      <c r="D17" s="158">
        <v>367500</v>
      </c>
      <c r="E17" s="158">
        <v>85500</v>
      </c>
      <c r="F17" s="158">
        <v>283632</v>
      </c>
      <c r="G17" s="74">
        <v>0.42</v>
      </c>
      <c r="H17" s="74">
        <v>0.28999999999999998</v>
      </c>
      <c r="I17" s="74">
        <v>7.0000000000000007E-2</v>
      </c>
      <c r="J17" s="74">
        <v>0.22</v>
      </c>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35" ht="15.5" x14ac:dyDescent="0.35">
      <c r="A18" s="34" t="s">
        <v>292</v>
      </c>
      <c r="B18" s="157">
        <v>1023155</v>
      </c>
      <c r="C18" s="158">
        <v>361800</v>
      </c>
      <c r="D18" s="158">
        <v>219250</v>
      </c>
      <c r="E18" s="158">
        <v>47250</v>
      </c>
      <c r="F18" s="158">
        <v>394855</v>
      </c>
      <c r="G18" s="74">
        <v>0.35</v>
      </c>
      <c r="H18" s="74">
        <v>0.21</v>
      </c>
      <c r="I18" s="74">
        <v>0.05</v>
      </c>
      <c r="J18" s="74">
        <v>0.39</v>
      </c>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1:35" ht="15.5" x14ac:dyDescent="0.35">
      <c r="A19" s="79" t="s">
        <v>293</v>
      </c>
      <c r="B19" s="157">
        <v>2115895</v>
      </c>
      <c r="C19" s="158">
        <v>599100</v>
      </c>
      <c r="D19" s="158">
        <v>408000</v>
      </c>
      <c r="E19" s="158">
        <v>69500</v>
      </c>
      <c r="F19" s="158">
        <v>1039295</v>
      </c>
      <c r="G19" s="74">
        <v>0.28000000000000003</v>
      </c>
      <c r="H19" s="74">
        <v>0.19</v>
      </c>
      <c r="I19" s="74">
        <v>0.03</v>
      </c>
      <c r="J19" s="74">
        <v>0.49</v>
      </c>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1:35" ht="15.5" x14ac:dyDescent="0.35">
      <c r="A20" s="79" t="s">
        <v>281</v>
      </c>
      <c r="B20" s="157">
        <v>1478432</v>
      </c>
      <c r="C20" s="158">
        <v>493200</v>
      </c>
      <c r="D20" s="158">
        <v>327000</v>
      </c>
      <c r="E20" s="158">
        <v>72250</v>
      </c>
      <c r="F20" s="158">
        <v>585982</v>
      </c>
      <c r="G20" s="74">
        <v>0.33</v>
      </c>
      <c r="H20" s="74">
        <v>0.22</v>
      </c>
      <c r="I20" s="74">
        <v>0.05</v>
      </c>
      <c r="J20" s="74">
        <v>0.4</v>
      </c>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spans="1:35" ht="15.5" x14ac:dyDescent="0.35">
      <c r="A21" s="79" t="s">
        <v>294</v>
      </c>
      <c r="B21" s="157">
        <v>1705304</v>
      </c>
      <c r="C21" s="158">
        <v>481200</v>
      </c>
      <c r="D21" s="158">
        <v>395250</v>
      </c>
      <c r="E21" s="158">
        <v>169250</v>
      </c>
      <c r="F21" s="158">
        <v>659604</v>
      </c>
      <c r="G21" s="74">
        <v>0.28000000000000003</v>
      </c>
      <c r="H21" s="74">
        <v>0.23</v>
      </c>
      <c r="I21" s="74">
        <v>0.1</v>
      </c>
      <c r="J21" s="74">
        <v>0.39</v>
      </c>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ht="15.5" x14ac:dyDescent="0.35">
      <c r="A22" s="79" t="s">
        <v>295</v>
      </c>
      <c r="B22" s="157">
        <v>1478762</v>
      </c>
      <c r="C22" s="158">
        <v>437700</v>
      </c>
      <c r="D22" s="158">
        <v>319250</v>
      </c>
      <c r="E22" s="158">
        <v>89250</v>
      </c>
      <c r="F22" s="158">
        <v>632562</v>
      </c>
      <c r="G22" s="74">
        <v>0.3</v>
      </c>
      <c r="H22" s="74">
        <v>0.22</v>
      </c>
      <c r="I22" s="74">
        <v>0.06</v>
      </c>
      <c r="J22" s="74">
        <v>0.43</v>
      </c>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1:35" ht="15.5" x14ac:dyDescent="0.35">
      <c r="A23" s="79" t="s">
        <v>296</v>
      </c>
      <c r="B23" s="157">
        <v>1705235</v>
      </c>
      <c r="C23" s="158">
        <v>679500</v>
      </c>
      <c r="D23" s="158">
        <v>302000</v>
      </c>
      <c r="E23" s="158">
        <v>16250</v>
      </c>
      <c r="F23" s="158">
        <v>707485</v>
      </c>
      <c r="G23" s="74">
        <v>0.4</v>
      </c>
      <c r="H23" s="74">
        <v>0.18</v>
      </c>
      <c r="I23" s="74">
        <v>0.01</v>
      </c>
      <c r="J23" s="74">
        <v>0.41</v>
      </c>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row>
    <row r="24" spans="1:35" ht="15.5" x14ac:dyDescent="0.35">
      <c r="A24" s="79" t="s">
        <v>297</v>
      </c>
      <c r="B24" s="157">
        <v>2091177</v>
      </c>
      <c r="C24" s="158">
        <v>522900</v>
      </c>
      <c r="D24" s="158">
        <v>233000</v>
      </c>
      <c r="E24" s="158">
        <v>538500</v>
      </c>
      <c r="F24" s="158">
        <v>796777</v>
      </c>
      <c r="G24" s="74">
        <v>0.25</v>
      </c>
      <c r="H24" s="74">
        <v>0.11</v>
      </c>
      <c r="I24" s="74">
        <v>0.26</v>
      </c>
      <c r="J24" s="74">
        <v>0.38</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1:35" ht="15.5" x14ac:dyDescent="0.35">
      <c r="A25" s="79" t="s">
        <v>298</v>
      </c>
      <c r="B25" s="157">
        <v>3132319</v>
      </c>
      <c r="C25" s="158">
        <v>333600</v>
      </c>
      <c r="D25" s="158">
        <v>279750</v>
      </c>
      <c r="E25" s="158">
        <v>1806750</v>
      </c>
      <c r="F25" s="158">
        <v>712219</v>
      </c>
      <c r="G25" s="74">
        <v>0.11</v>
      </c>
      <c r="H25" s="74">
        <v>0.09</v>
      </c>
      <c r="I25" s="74">
        <v>0.57999999999999996</v>
      </c>
      <c r="J25" s="74">
        <v>0.23</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1:35" ht="15.5" x14ac:dyDescent="0.35">
      <c r="A26" s="79" t="s">
        <v>299</v>
      </c>
      <c r="B26" s="157">
        <v>3098139</v>
      </c>
      <c r="C26" s="158">
        <v>501300</v>
      </c>
      <c r="D26" s="158">
        <v>521750</v>
      </c>
      <c r="E26" s="158">
        <v>1280500</v>
      </c>
      <c r="F26" s="158">
        <v>794589</v>
      </c>
      <c r="G26" s="74">
        <v>0.16</v>
      </c>
      <c r="H26" s="74">
        <v>0.17</v>
      </c>
      <c r="I26" s="74">
        <v>0.41</v>
      </c>
      <c r="J26" s="74">
        <v>0.26</v>
      </c>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spans="1:35" ht="15.5" x14ac:dyDescent="0.35">
      <c r="A27" s="79" t="s">
        <v>300</v>
      </c>
      <c r="B27" s="157">
        <v>4156700</v>
      </c>
      <c r="C27" s="158">
        <v>1044300</v>
      </c>
      <c r="D27" s="158">
        <v>1158250</v>
      </c>
      <c r="E27" s="158">
        <v>1035750</v>
      </c>
      <c r="F27" s="158">
        <v>918400</v>
      </c>
      <c r="G27" s="74">
        <v>0.25</v>
      </c>
      <c r="H27" s="74">
        <v>0.28000000000000003</v>
      </c>
      <c r="I27" s="74">
        <v>0.25</v>
      </c>
      <c r="J27" s="74">
        <v>0.22</v>
      </c>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row>
    <row r="28" spans="1:35" ht="15.5" x14ac:dyDescent="0.35">
      <c r="A28" s="79" t="s">
        <v>301</v>
      </c>
      <c r="B28" s="157">
        <v>2761735</v>
      </c>
      <c r="C28" s="158">
        <v>878700</v>
      </c>
      <c r="D28" s="158">
        <v>485750</v>
      </c>
      <c r="E28" s="158">
        <v>340000</v>
      </c>
      <c r="F28" s="158">
        <v>1057285</v>
      </c>
      <c r="G28" s="74">
        <v>0.32</v>
      </c>
      <c r="H28" s="74">
        <v>0.18</v>
      </c>
      <c r="I28" s="74">
        <v>0.12</v>
      </c>
      <c r="J28" s="74">
        <v>0.38</v>
      </c>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row>
    <row r="29" spans="1:35" ht="15.5" x14ac:dyDescent="0.35">
      <c r="A29" s="79" t="s">
        <v>302</v>
      </c>
      <c r="B29" s="157">
        <v>1929781</v>
      </c>
      <c r="C29" s="158">
        <v>573900</v>
      </c>
      <c r="D29" s="158">
        <v>335500</v>
      </c>
      <c r="E29" s="158">
        <v>122500</v>
      </c>
      <c r="F29" s="158">
        <v>897881</v>
      </c>
      <c r="G29" s="74">
        <v>0.3</v>
      </c>
      <c r="H29" s="74">
        <v>0.17</v>
      </c>
      <c r="I29" s="74">
        <v>0.06</v>
      </c>
      <c r="J29" s="74">
        <v>0.47</v>
      </c>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row>
    <row r="30" spans="1:35" ht="15.5" x14ac:dyDescent="0.35">
      <c r="A30" s="79" t="s">
        <v>303</v>
      </c>
      <c r="B30" s="157">
        <v>2862957</v>
      </c>
      <c r="C30" s="158">
        <v>480600</v>
      </c>
      <c r="D30" s="158">
        <v>415500</v>
      </c>
      <c r="E30" s="158">
        <v>126250</v>
      </c>
      <c r="F30" s="158">
        <v>1840607</v>
      </c>
      <c r="G30" s="74">
        <v>0.17</v>
      </c>
      <c r="H30" s="74">
        <v>0.15</v>
      </c>
      <c r="I30" s="74">
        <v>0.04</v>
      </c>
      <c r="J30" s="74">
        <v>0.64</v>
      </c>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1" spans="1:35" ht="15.5" x14ac:dyDescent="0.35">
      <c r="A31" s="79" t="s">
        <v>304</v>
      </c>
      <c r="B31" s="157">
        <v>1725653</v>
      </c>
      <c r="C31" s="158">
        <v>385200</v>
      </c>
      <c r="D31" s="158">
        <v>285750</v>
      </c>
      <c r="E31" s="158">
        <v>94500</v>
      </c>
      <c r="F31" s="158">
        <v>960203</v>
      </c>
      <c r="G31" s="74">
        <v>0.22</v>
      </c>
      <c r="H31" s="74">
        <v>0.17</v>
      </c>
      <c r="I31" s="74">
        <v>0.05</v>
      </c>
      <c r="J31" s="74">
        <v>0.56000000000000005</v>
      </c>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row r="32" spans="1:35" ht="15.5" x14ac:dyDescent="0.35">
      <c r="A32" s="79" t="s">
        <v>282</v>
      </c>
      <c r="B32" s="157">
        <v>2339443</v>
      </c>
      <c r="C32" s="158">
        <v>598800</v>
      </c>
      <c r="D32" s="158">
        <v>584250</v>
      </c>
      <c r="E32" s="158">
        <v>139500</v>
      </c>
      <c r="F32" s="158">
        <v>1016893</v>
      </c>
      <c r="G32" s="74">
        <v>0.26</v>
      </c>
      <c r="H32" s="74">
        <v>0.25</v>
      </c>
      <c r="I32" s="74">
        <v>0.06</v>
      </c>
      <c r="J32" s="74">
        <v>0.43</v>
      </c>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row>
    <row r="33" spans="1:35" ht="15.5" x14ac:dyDescent="0.35">
      <c r="A33" s="79" t="s">
        <v>305</v>
      </c>
      <c r="B33" s="157">
        <v>2176275</v>
      </c>
      <c r="C33" s="158">
        <v>506100</v>
      </c>
      <c r="D33" s="158">
        <v>455000</v>
      </c>
      <c r="E33" s="158">
        <v>153750</v>
      </c>
      <c r="F33" s="158">
        <v>1061425</v>
      </c>
      <c r="G33" s="74">
        <v>0.23</v>
      </c>
      <c r="H33" s="74">
        <v>0.21</v>
      </c>
      <c r="I33" s="74">
        <v>7.0000000000000007E-2</v>
      </c>
      <c r="J33" s="74">
        <v>0.49</v>
      </c>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row>
    <row r="34" spans="1:35" ht="15.5" x14ac:dyDescent="0.35">
      <c r="A34" s="81" t="s">
        <v>306</v>
      </c>
      <c r="B34" s="157">
        <v>2272087</v>
      </c>
      <c r="C34" s="158">
        <v>646404</v>
      </c>
      <c r="D34" s="158">
        <v>543375</v>
      </c>
      <c r="E34" s="158">
        <v>122250</v>
      </c>
      <c r="F34" s="158">
        <v>960058</v>
      </c>
      <c r="G34" s="74">
        <v>0.28000000000000003</v>
      </c>
      <c r="H34" s="74">
        <v>0.24</v>
      </c>
      <c r="I34" s="74">
        <v>0.05</v>
      </c>
      <c r="J34" s="74">
        <v>0.42</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35" ht="16" thickBot="1" x14ac:dyDescent="0.4">
      <c r="A35" s="103" t="s">
        <v>307</v>
      </c>
      <c r="B35" s="163">
        <v>2481880</v>
      </c>
      <c r="C35" s="164">
        <v>834060</v>
      </c>
      <c r="D35" s="164">
        <v>513293</v>
      </c>
      <c r="E35" s="164">
        <v>28750</v>
      </c>
      <c r="F35" s="164">
        <v>1105778</v>
      </c>
      <c r="G35" s="104">
        <v>0.34</v>
      </c>
      <c r="H35" s="104">
        <v>0.21</v>
      </c>
      <c r="I35" s="104">
        <v>0.01</v>
      </c>
      <c r="J35" s="104">
        <v>0.45</v>
      </c>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spans="1:35" ht="15.5" x14ac:dyDescent="0.35">
      <c r="A36" s="84" t="s">
        <v>316</v>
      </c>
      <c r="B36" s="157">
        <v>4072200</v>
      </c>
      <c r="C36" s="158">
        <v>4072200</v>
      </c>
      <c r="D36" s="158">
        <v>0</v>
      </c>
      <c r="E36" s="158">
        <v>0</v>
      </c>
      <c r="F36" s="158">
        <v>0</v>
      </c>
      <c r="G36" s="74">
        <v>1</v>
      </c>
      <c r="H36" s="74">
        <v>0</v>
      </c>
      <c r="I36" s="74">
        <v>0</v>
      </c>
      <c r="J36" s="74">
        <v>0</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1:35" s="12" customFormat="1" ht="16.5" customHeight="1" x14ac:dyDescent="0.35">
      <c r="A37" s="84" t="s">
        <v>317</v>
      </c>
      <c r="B37" s="157">
        <v>22485723</v>
      </c>
      <c r="C37" s="158">
        <v>6638100</v>
      </c>
      <c r="D37" s="158">
        <v>8046750</v>
      </c>
      <c r="E37" s="158">
        <v>4542500</v>
      </c>
      <c r="F37" s="158">
        <v>3258373</v>
      </c>
      <c r="G37" s="74">
        <v>0.3</v>
      </c>
      <c r="H37" s="74">
        <v>0.36</v>
      </c>
      <c r="I37" s="74">
        <v>0.2</v>
      </c>
      <c r="J37" s="74">
        <v>0.14000000000000001</v>
      </c>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1:35" s="12" customFormat="1" ht="17.25" customHeight="1" x14ac:dyDescent="0.35">
      <c r="A38" s="84" t="s">
        <v>318</v>
      </c>
      <c r="B38" s="157">
        <v>29458174</v>
      </c>
      <c r="C38" s="158">
        <v>6942600</v>
      </c>
      <c r="D38" s="158">
        <v>5375750</v>
      </c>
      <c r="E38" s="158">
        <v>5743500</v>
      </c>
      <c r="F38" s="158">
        <v>11396324</v>
      </c>
      <c r="G38" s="74">
        <v>0.24</v>
      </c>
      <c r="H38" s="74">
        <v>0.18</v>
      </c>
      <c r="I38" s="74">
        <v>0.19</v>
      </c>
      <c r="J38" s="74">
        <v>0.39</v>
      </c>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spans="1:35" ht="15.5" x14ac:dyDescent="0.35">
      <c r="A39" s="84" t="s">
        <v>319</v>
      </c>
      <c r="B39" s="157">
        <v>4753967</v>
      </c>
      <c r="C39" s="158">
        <v>1480464</v>
      </c>
      <c r="D39" s="158">
        <v>1056668</v>
      </c>
      <c r="E39" s="158">
        <v>151000</v>
      </c>
      <c r="F39" s="158">
        <v>2065836</v>
      </c>
      <c r="G39" s="74">
        <v>0.31</v>
      </c>
      <c r="H39" s="74">
        <v>0.22</v>
      </c>
      <c r="I39" s="74">
        <v>0.03</v>
      </c>
      <c r="J39" s="74">
        <v>0.43</v>
      </c>
      <c r="K39" s="78"/>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5" ht="15.5" x14ac:dyDescent="0.35">
      <c r="A40" s="150" t="s">
        <v>704</v>
      </c>
      <c r="B40" s="21"/>
      <c r="C40" s="21"/>
      <c r="D40" s="21"/>
      <c r="E40" s="21"/>
      <c r="F40" s="21"/>
      <c r="G40" s="21"/>
      <c r="H40" s="21"/>
      <c r="I40" s="21"/>
      <c r="J40" s="21"/>
      <c r="K40" s="21"/>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spans="1:35" ht="15.5" x14ac:dyDescent="0.35">
      <c r="A41" s="150" t="s">
        <v>705</v>
      </c>
      <c r="B41" s="21"/>
      <c r="C41" s="21"/>
      <c r="D41" s="21"/>
      <c r="E41" s="21"/>
      <c r="F41" s="21"/>
      <c r="G41" s="21"/>
      <c r="H41" s="21"/>
      <c r="I41" s="21"/>
      <c r="J41" s="21"/>
      <c r="K41" s="21"/>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15.5" x14ac:dyDescent="0.35">
      <c r="A42" s="150" t="s">
        <v>706</v>
      </c>
      <c r="B42" s="21"/>
      <c r="C42" s="21"/>
      <c r="D42" s="21"/>
      <c r="E42" s="21"/>
      <c r="F42" s="21"/>
      <c r="G42" s="21"/>
      <c r="H42" s="21"/>
      <c r="I42" s="21"/>
      <c r="J42" s="21"/>
      <c r="K42" s="21"/>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spans="1:35" ht="15.5" x14ac:dyDescent="0.35">
      <c r="A43" s="150" t="s">
        <v>707</v>
      </c>
      <c r="B43" s="21"/>
      <c r="C43" s="21"/>
      <c r="D43" s="21"/>
      <c r="E43" s="21"/>
      <c r="F43" s="21"/>
      <c r="G43" s="21"/>
      <c r="H43" s="21"/>
      <c r="I43" s="21"/>
      <c r="J43" s="21"/>
      <c r="K43" s="21"/>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spans="1:35" ht="15.5" x14ac:dyDescent="0.35">
      <c r="A44" s="150" t="s">
        <v>708</v>
      </c>
      <c r="B44" s="21"/>
      <c r="C44" s="21"/>
      <c r="D44" s="21"/>
      <c r="E44" s="21"/>
      <c r="F44" s="21"/>
      <c r="G44" s="21"/>
      <c r="H44" s="21"/>
      <c r="I44" s="21"/>
      <c r="J44" s="21"/>
      <c r="K44" s="21"/>
      <c r="L44" s="26"/>
      <c r="M44" s="26"/>
      <c r="N44" s="78"/>
      <c r="O44" s="26"/>
      <c r="P44" s="26"/>
      <c r="Q44" s="26"/>
      <c r="R44" s="26"/>
      <c r="S44" s="26"/>
      <c r="T44" s="26"/>
      <c r="U44" s="26"/>
      <c r="V44" s="26"/>
      <c r="W44" s="26"/>
      <c r="X44" s="26"/>
      <c r="Y44" s="26"/>
      <c r="Z44" s="26"/>
      <c r="AA44" s="26"/>
      <c r="AB44" s="26"/>
      <c r="AC44" s="26"/>
      <c r="AD44" s="26"/>
      <c r="AE44" s="26"/>
      <c r="AF44" s="26"/>
      <c r="AG44" s="26"/>
      <c r="AH44" s="26"/>
      <c r="AI44" s="26"/>
    </row>
    <row r="45" spans="1:35" ht="15.5" x14ac:dyDescent="0.35">
      <c r="A45" s="150" t="s">
        <v>710</v>
      </c>
      <c r="B45" s="21"/>
      <c r="C45" s="21"/>
      <c r="D45" s="21"/>
      <c r="E45" s="21"/>
      <c r="F45" s="21"/>
      <c r="G45" s="21"/>
      <c r="H45" s="21"/>
      <c r="I45" s="21"/>
      <c r="J45" s="21"/>
      <c r="K45" s="21"/>
      <c r="L45" s="26"/>
      <c r="M45" s="26"/>
      <c r="N45" s="26"/>
      <c r="O45" s="26"/>
      <c r="P45" s="26"/>
      <c r="Q45" s="26"/>
      <c r="R45" s="26"/>
      <c r="S45" s="26"/>
      <c r="T45" s="26"/>
      <c r="U45" s="26"/>
      <c r="V45" s="26"/>
      <c r="W45" s="26"/>
      <c r="X45" s="26"/>
      <c r="Y45" s="26"/>
      <c r="Z45" s="26"/>
      <c r="AA45" s="26"/>
      <c r="AB45" s="26"/>
      <c r="AC45" s="26"/>
      <c r="AD45" s="26"/>
      <c r="AE45" s="26"/>
      <c r="AF45" s="26"/>
      <c r="AG45" s="26"/>
      <c r="AH45" s="26"/>
      <c r="AI45" s="26"/>
    </row>
    <row r="46" spans="1:35" ht="15.5" x14ac:dyDescent="0.35">
      <c r="A46" s="150" t="s">
        <v>711</v>
      </c>
      <c r="B46" s="21"/>
      <c r="C46" s="21"/>
      <c r="D46" s="21"/>
      <c r="E46" s="21"/>
      <c r="F46" s="21"/>
      <c r="G46" s="21"/>
      <c r="H46" s="21"/>
      <c r="I46" s="21"/>
      <c r="J46" s="21"/>
      <c r="K46" s="21"/>
      <c r="L46" s="26"/>
      <c r="M46" s="26"/>
      <c r="N46" s="78"/>
      <c r="O46" s="26"/>
      <c r="P46" s="26"/>
      <c r="Q46" s="26"/>
      <c r="R46" s="26"/>
      <c r="S46" s="26"/>
      <c r="T46" s="26"/>
      <c r="U46" s="26"/>
      <c r="V46" s="26"/>
      <c r="W46" s="26"/>
      <c r="X46" s="26"/>
      <c r="Y46" s="26"/>
      <c r="Z46" s="26"/>
      <c r="AA46" s="26"/>
      <c r="AB46" s="26"/>
      <c r="AC46" s="26"/>
      <c r="AD46" s="26"/>
      <c r="AE46" s="26"/>
      <c r="AF46" s="26"/>
      <c r="AG46" s="26"/>
      <c r="AH46" s="26"/>
      <c r="AI46" s="26"/>
    </row>
    <row r="47" spans="1:35" ht="15.5" x14ac:dyDescent="0.35">
      <c r="A47" s="26"/>
      <c r="B47" s="21"/>
      <c r="C47" s="21"/>
      <c r="D47" s="21"/>
      <c r="E47" s="21"/>
      <c r="F47" s="21"/>
      <c r="G47" s="21"/>
      <c r="H47" s="21"/>
      <c r="I47" s="21"/>
      <c r="J47" s="21"/>
      <c r="K47" s="21"/>
      <c r="L47" s="26"/>
      <c r="M47" s="26"/>
      <c r="N47" s="26"/>
      <c r="O47" s="26"/>
      <c r="P47" s="26"/>
      <c r="Q47" s="26"/>
      <c r="R47" s="26"/>
      <c r="S47" s="26"/>
      <c r="T47" s="26"/>
      <c r="U47" s="26"/>
      <c r="V47" s="26"/>
      <c r="W47" s="26"/>
      <c r="X47" s="26"/>
      <c r="Y47" s="26"/>
      <c r="Z47" s="26"/>
      <c r="AA47" s="26"/>
      <c r="AB47" s="26"/>
      <c r="AC47" s="26"/>
      <c r="AD47" s="26"/>
      <c r="AE47" s="26"/>
      <c r="AF47" s="26"/>
      <c r="AG47" s="26"/>
      <c r="AH47" s="26"/>
      <c r="AI47" s="26"/>
    </row>
    <row r="48" spans="1:35" ht="15.5" x14ac:dyDescent="0.35">
      <c r="A48" s="26"/>
      <c r="B48" s="21"/>
      <c r="C48" s="21"/>
      <c r="D48" s="21"/>
      <c r="E48" s="21"/>
      <c r="F48" s="21"/>
      <c r="G48" s="21"/>
      <c r="H48" s="21"/>
      <c r="I48" s="21"/>
      <c r="J48" s="21"/>
      <c r="K48" s="21"/>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15.5" x14ac:dyDescent="0.35">
      <c r="A49" s="26"/>
      <c r="B49" s="21"/>
      <c r="C49" s="21"/>
      <c r="D49" s="21"/>
      <c r="E49" s="21"/>
      <c r="F49" s="21"/>
      <c r="G49" s="21"/>
      <c r="H49" s="21"/>
      <c r="I49" s="21"/>
      <c r="J49" s="21"/>
      <c r="K49" s="21"/>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15.5" x14ac:dyDescent="0.35">
      <c r="B50" s="21"/>
      <c r="C50" s="21"/>
      <c r="D50" s="21"/>
      <c r="E50" s="21"/>
      <c r="F50" s="21"/>
      <c r="G50" s="21"/>
      <c r="H50" s="21"/>
      <c r="I50" s="21"/>
      <c r="J50" s="21"/>
      <c r="K50" s="21"/>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x14ac:dyDescent="0.35">
      <c r="B51" s="21"/>
      <c r="C51" s="21"/>
      <c r="D51" s="21"/>
      <c r="E51" s="21"/>
      <c r="F51" s="21"/>
      <c r="G51" s="21"/>
      <c r="H51" s="21"/>
      <c r="I51" s="21"/>
      <c r="J51" s="21"/>
      <c r="K51" s="21"/>
    </row>
    <row r="52" spans="1:35" x14ac:dyDescent="0.35">
      <c r="B52" s="21"/>
      <c r="C52" s="21"/>
      <c r="D52" s="21"/>
      <c r="E52" s="21"/>
      <c r="F52" s="21"/>
      <c r="G52" s="21"/>
      <c r="H52" s="21"/>
      <c r="I52" s="21"/>
      <c r="J52" s="21"/>
      <c r="K52" s="21"/>
    </row>
    <row r="53" spans="1:35" x14ac:dyDescent="0.35">
      <c r="B53" s="21"/>
      <c r="C53" s="21"/>
      <c r="D53" s="21"/>
      <c r="E53" s="21"/>
      <c r="F53" s="21"/>
      <c r="G53" s="21"/>
      <c r="H53" s="21"/>
      <c r="I53" s="21"/>
      <c r="J53" s="21"/>
      <c r="K53" s="21"/>
    </row>
  </sheetData>
  <conditionalFormatting sqref="H4:K4 K5:K35">
    <cfRule type="dataBar" priority="2">
      <dataBar>
        <cfvo type="num" val="0"/>
        <cfvo type="num" val="1"/>
        <color theme="4" tint="-0.249977111117893"/>
      </dataBar>
      <extLst>
        <ext xmlns:x14="http://schemas.microsoft.com/office/spreadsheetml/2009/9/main" uri="{B025F937-C7B1-47D3-B67F-A62EFF666E3E}">
          <x14:id>{97400DA6-6E73-4CF3-8C10-7D365DA804F0}</x14:id>
        </ext>
      </extLst>
    </cfRule>
  </conditionalFormatting>
  <conditionalFormatting sqref="G5:J39">
    <cfRule type="dataBar" priority="1">
      <dataBar>
        <cfvo type="num" val="0"/>
        <cfvo type="num" val="1"/>
        <color rgb="FFB4A9D4"/>
      </dataBar>
      <extLst>
        <ext xmlns:x14="http://schemas.microsoft.com/office/spreadsheetml/2009/9/main" uri="{B025F937-C7B1-47D3-B67F-A62EFF666E3E}">
          <x14:id>{753AFE70-F71D-4558-9AB0-D171E13A5127}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7400DA6-6E73-4CF3-8C10-7D365DA804F0}">
            <x14:dataBar minLength="0" maxLength="100" border="1">
              <x14:cfvo type="num">
                <xm:f>0</xm:f>
              </x14:cfvo>
              <x14:cfvo type="num">
                <xm:f>1</xm:f>
              </x14:cfvo>
              <x14:borderColor theme="8" tint="0.39997558519241921"/>
              <x14:negativeFillColor rgb="FFFF0000"/>
              <x14:axisColor rgb="FF000000"/>
            </x14:dataBar>
          </x14:cfRule>
          <xm:sqref>H4:K4 K5:K35</xm:sqref>
        </x14:conditionalFormatting>
        <x14:conditionalFormatting xmlns:xm="http://schemas.microsoft.com/office/excel/2006/main">
          <x14:cfRule type="dataBar" id="{753AFE70-F71D-4558-9AB0-D171E13A5127}">
            <x14:dataBar minLength="0" maxLength="100" gradient="0">
              <x14:cfvo type="num">
                <xm:f>0</xm:f>
              </x14:cfvo>
              <x14:cfvo type="num">
                <xm:f>1</xm:f>
              </x14:cfvo>
              <x14:negativeFillColor rgb="FFFF0000"/>
              <x14:axisColor rgb="FF000000"/>
            </x14:dataBar>
          </x14:cfRule>
          <xm:sqref>G5:J39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43"/>
  <sheetViews>
    <sheetView zoomScale="75" zoomScaleNormal="75" workbookViewId="0"/>
  </sheetViews>
  <sheetFormatPr defaultRowHeight="14.5" x14ac:dyDescent="0.35"/>
  <cols>
    <col min="1" max="1" width="25.7265625" customWidth="1"/>
    <col min="2" max="13" width="21.54296875" customWidth="1"/>
    <col min="22" max="22" width="12.1796875" bestFit="1" customWidth="1"/>
  </cols>
  <sheetData>
    <row r="1" spans="1:28" ht="21" x14ac:dyDescent="0.5">
      <c r="A1" s="165" t="s">
        <v>330</v>
      </c>
      <c r="B1" s="83"/>
      <c r="C1" s="83"/>
      <c r="D1" s="83"/>
      <c r="E1" s="83"/>
      <c r="F1" s="83"/>
      <c r="G1" s="83"/>
      <c r="H1" s="28"/>
      <c r="I1" s="28"/>
      <c r="J1" s="28"/>
      <c r="K1" s="26"/>
      <c r="L1" s="26"/>
      <c r="M1" s="26"/>
      <c r="N1" s="26"/>
      <c r="O1" s="13"/>
      <c r="P1" s="13"/>
      <c r="Q1" s="13"/>
      <c r="R1" s="13"/>
      <c r="S1" s="13"/>
      <c r="T1" s="13"/>
      <c r="U1" s="13"/>
      <c r="V1" s="13"/>
      <c r="W1" s="13"/>
      <c r="X1" s="13"/>
      <c r="Y1" s="13"/>
    </row>
    <row r="2" spans="1:28" ht="15.5" x14ac:dyDescent="0.35">
      <c r="A2" s="80" t="s">
        <v>326</v>
      </c>
      <c r="B2" s="62"/>
      <c r="C2" s="62"/>
      <c r="D2" s="62"/>
      <c r="E2" s="62"/>
      <c r="F2" s="62"/>
      <c r="G2" s="62"/>
      <c r="H2" s="28"/>
      <c r="I2" s="28"/>
      <c r="J2" s="28"/>
      <c r="K2" s="69"/>
      <c r="L2" s="69"/>
      <c r="M2" s="69"/>
      <c r="N2" s="69"/>
      <c r="O2" s="13"/>
      <c r="P2" s="13"/>
      <c r="Q2" s="13"/>
      <c r="R2" s="13"/>
      <c r="S2" s="13"/>
      <c r="T2" s="13"/>
      <c r="U2" s="13"/>
      <c r="V2" s="13"/>
      <c r="W2" s="13"/>
      <c r="X2" s="13"/>
      <c r="Y2" s="13"/>
    </row>
    <row r="3" spans="1:28" ht="15.5" x14ac:dyDescent="0.35">
      <c r="A3" s="25" t="s">
        <v>309</v>
      </c>
      <c r="B3" s="62"/>
      <c r="C3" s="62"/>
      <c r="D3" s="62"/>
      <c r="E3" s="62"/>
      <c r="F3" s="62"/>
      <c r="G3" s="62"/>
      <c r="H3" s="28"/>
      <c r="I3" s="28"/>
      <c r="J3" s="28"/>
      <c r="K3" s="69"/>
      <c r="L3" s="69"/>
      <c r="M3" s="69"/>
      <c r="N3" s="69"/>
      <c r="O3" s="13"/>
      <c r="P3" s="13"/>
      <c r="Q3" s="13"/>
      <c r="R3" s="13"/>
      <c r="S3" s="13"/>
      <c r="T3" s="13"/>
      <c r="U3" s="13"/>
      <c r="V3" s="13"/>
      <c r="W3" s="13"/>
      <c r="X3" s="13"/>
      <c r="Y3" s="13"/>
    </row>
    <row r="4" spans="1:28" ht="77.5" x14ac:dyDescent="0.35">
      <c r="A4" s="37" t="s">
        <v>14</v>
      </c>
      <c r="B4" s="101" t="s">
        <v>765</v>
      </c>
      <c r="C4" s="101" t="s">
        <v>327</v>
      </c>
      <c r="D4" s="101" t="s">
        <v>719</v>
      </c>
      <c r="E4" s="101" t="s">
        <v>720</v>
      </c>
      <c r="F4" s="101" t="s">
        <v>721</v>
      </c>
      <c r="G4" s="101" t="s">
        <v>722</v>
      </c>
      <c r="H4" s="31" t="s">
        <v>723</v>
      </c>
      <c r="I4" s="31" t="s">
        <v>724</v>
      </c>
      <c r="J4" s="31" t="s">
        <v>725</v>
      </c>
      <c r="K4" s="85" t="s">
        <v>328</v>
      </c>
      <c r="L4" s="102" t="s">
        <v>729</v>
      </c>
      <c r="M4" s="85" t="s">
        <v>726</v>
      </c>
      <c r="N4" s="67"/>
      <c r="O4" s="13"/>
      <c r="P4" s="13"/>
      <c r="Q4" s="13"/>
      <c r="R4" s="13"/>
      <c r="S4" s="13"/>
      <c r="T4" s="13"/>
      <c r="U4" s="13"/>
      <c r="V4" s="13"/>
      <c r="W4" s="13"/>
      <c r="X4" s="13"/>
      <c r="Y4" s="13"/>
      <c r="Z4" s="13"/>
      <c r="AA4" s="13"/>
      <c r="AB4" s="13"/>
    </row>
    <row r="5" spans="1:28" ht="15.5" x14ac:dyDescent="0.35">
      <c r="A5" s="119" t="s">
        <v>7</v>
      </c>
      <c r="B5" s="250">
        <v>2710</v>
      </c>
      <c r="C5" s="130">
        <v>0.01</v>
      </c>
      <c r="D5" s="252">
        <v>2685</v>
      </c>
      <c r="E5" s="252">
        <v>1240</v>
      </c>
      <c r="F5" s="131">
        <v>645</v>
      </c>
      <c r="G5" s="131">
        <v>800</v>
      </c>
      <c r="H5" s="115">
        <v>0.47</v>
      </c>
      <c r="I5" s="115">
        <v>0.25</v>
      </c>
      <c r="J5" s="114">
        <v>0.28000000000000003</v>
      </c>
      <c r="K5" s="129" t="s">
        <v>534</v>
      </c>
      <c r="L5" s="129">
        <v>12</v>
      </c>
      <c r="M5" s="132">
        <v>0.96</v>
      </c>
      <c r="N5" s="26"/>
      <c r="O5" s="13"/>
      <c r="P5" s="13"/>
      <c r="Q5" s="13"/>
      <c r="R5" s="13"/>
      <c r="S5" s="13"/>
      <c r="T5" s="13"/>
      <c r="U5" s="13"/>
      <c r="V5" s="13"/>
      <c r="W5" s="13"/>
      <c r="X5" s="13"/>
      <c r="Y5" s="13"/>
      <c r="Z5" s="13"/>
      <c r="AA5" s="13"/>
      <c r="AB5" s="13"/>
    </row>
    <row r="6" spans="1:28" ht="15.5" x14ac:dyDescent="0.35">
      <c r="A6" s="147" t="s">
        <v>278</v>
      </c>
      <c r="B6" s="133">
        <v>0</v>
      </c>
      <c r="C6" s="142" t="s">
        <v>486</v>
      </c>
      <c r="D6" s="137" t="s">
        <v>486</v>
      </c>
      <c r="E6" s="140" t="s">
        <v>486</v>
      </c>
      <c r="F6" s="140" t="s">
        <v>486</v>
      </c>
      <c r="G6" s="136" t="s">
        <v>486</v>
      </c>
      <c r="H6" s="110" t="s">
        <v>486</v>
      </c>
      <c r="I6" s="110" t="s">
        <v>486</v>
      </c>
      <c r="J6" s="142" t="s">
        <v>486</v>
      </c>
      <c r="K6" s="140" t="s">
        <v>486</v>
      </c>
      <c r="L6" s="136" t="s">
        <v>486</v>
      </c>
      <c r="M6" s="110" t="s">
        <v>486</v>
      </c>
      <c r="N6" s="26"/>
      <c r="O6" s="13"/>
      <c r="P6" s="13"/>
      <c r="Q6" s="13"/>
      <c r="R6" s="13"/>
      <c r="S6" s="13"/>
      <c r="T6" s="13"/>
      <c r="U6" s="13"/>
      <c r="V6" s="13"/>
      <c r="W6" s="13"/>
      <c r="X6" s="13"/>
      <c r="Y6" s="13"/>
      <c r="Z6" s="13"/>
      <c r="AA6" s="13"/>
      <c r="AB6" s="13"/>
    </row>
    <row r="7" spans="1:28" ht="15.5" x14ac:dyDescent="0.35">
      <c r="A7" s="147" t="s">
        <v>279</v>
      </c>
      <c r="B7" s="133">
        <v>105</v>
      </c>
      <c r="C7" s="144">
        <v>1.2E-2</v>
      </c>
      <c r="D7" s="145">
        <v>30</v>
      </c>
      <c r="E7" s="139">
        <v>20</v>
      </c>
      <c r="F7" s="139">
        <v>10</v>
      </c>
      <c r="G7" s="136" t="s">
        <v>486</v>
      </c>
      <c r="H7" s="110">
        <v>0.65</v>
      </c>
      <c r="I7" s="110" t="s">
        <v>486</v>
      </c>
      <c r="J7" s="143" t="s">
        <v>486</v>
      </c>
      <c r="K7" s="141">
        <v>75</v>
      </c>
      <c r="L7" s="136">
        <v>11.5</v>
      </c>
      <c r="M7" s="110">
        <v>1</v>
      </c>
      <c r="N7" s="26"/>
      <c r="O7" s="13"/>
      <c r="P7" s="13"/>
      <c r="Q7" s="13"/>
      <c r="R7" s="13"/>
      <c r="S7" s="13"/>
      <c r="T7" s="13"/>
      <c r="U7" s="13"/>
      <c r="V7" s="13"/>
      <c r="W7" s="13"/>
      <c r="X7" s="13"/>
      <c r="Y7" s="13"/>
      <c r="Z7" s="13"/>
      <c r="AA7" s="13"/>
      <c r="AB7" s="13"/>
    </row>
    <row r="8" spans="1:28" ht="15.5" x14ac:dyDescent="0.35">
      <c r="A8" s="147" t="s">
        <v>280</v>
      </c>
      <c r="B8" s="133">
        <v>135</v>
      </c>
      <c r="C8" s="144">
        <v>4.1000000000000002E-2</v>
      </c>
      <c r="D8" s="145">
        <v>115</v>
      </c>
      <c r="E8" s="139">
        <v>60</v>
      </c>
      <c r="F8" s="139">
        <v>40</v>
      </c>
      <c r="G8" s="133">
        <v>15</v>
      </c>
      <c r="H8" s="110">
        <v>0.53</v>
      </c>
      <c r="I8" s="110">
        <v>0.34</v>
      </c>
      <c r="J8" s="143">
        <v>0.13</v>
      </c>
      <c r="K8" s="139">
        <v>90</v>
      </c>
      <c r="L8" s="133">
        <v>15</v>
      </c>
      <c r="M8" s="110" t="s">
        <v>486</v>
      </c>
      <c r="N8" s="26"/>
      <c r="O8" s="13"/>
      <c r="P8" s="13"/>
      <c r="Q8" s="13"/>
      <c r="R8" s="13"/>
      <c r="S8" s="13"/>
      <c r="T8" s="13"/>
      <c r="U8" s="13"/>
      <c r="V8" s="13"/>
      <c r="W8" s="13"/>
      <c r="X8" s="13"/>
      <c r="Y8" s="13"/>
      <c r="Z8" s="13"/>
      <c r="AA8" s="13"/>
      <c r="AB8" s="13"/>
    </row>
    <row r="9" spans="1:28" ht="15.5" x14ac:dyDescent="0.35">
      <c r="A9" s="147" t="s">
        <v>283</v>
      </c>
      <c r="B9" s="133">
        <v>105</v>
      </c>
      <c r="C9" s="144">
        <v>3.5000000000000003E-2</v>
      </c>
      <c r="D9" s="145">
        <v>155</v>
      </c>
      <c r="E9" s="139">
        <v>70</v>
      </c>
      <c r="F9" s="139">
        <v>70</v>
      </c>
      <c r="G9" s="133">
        <v>15</v>
      </c>
      <c r="H9" s="110">
        <v>0.44</v>
      </c>
      <c r="I9" s="110">
        <v>0.45</v>
      </c>
      <c r="J9" s="143">
        <v>0.11</v>
      </c>
      <c r="K9" s="139">
        <v>45</v>
      </c>
      <c r="L9" s="133">
        <v>14</v>
      </c>
      <c r="M9" s="110">
        <v>0.97</v>
      </c>
      <c r="N9" s="26"/>
      <c r="O9" s="13"/>
      <c r="P9" s="13"/>
      <c r="Q9" s="13"/>
      <c r="R9" s="13"/>
      <c r="S9" s="13"/>
      <c r="T9" s="13"/>
      <c r="U9" s="13"/>
      <c r="V9" s="13"/>
      <c r="W9" s="13"/>
      <c r="X9" s="13"/>
      <c r="Y9" s="13"/>
      <c r="Z9" s="13"/>
      <c r="AA9" s="13"/>
      <c r="AB9" s="13"/>
    </row>
    <row r="10" spans="1:28" ht="15.5" x14ac:dyDescent="0.35">
      <c r="A10" s="147" t="s">
        <v>284</v>
      </c>
      <c r="B10" s="133">
        <v>85</v>
      </c>
      <c r="C10" s="144">
        <v>2.1999999999999999E-2</v>
      </c>
      <c r="D10" s="145">
        <v>80</v>
      </c>
      <c r="E10" s="139">
        <v>35</v>
      </c>
      <c r="F10" s="139">
        <v>35</v>
      </c>
      <c r="G10" s="133">
        <v>15</v>
      </c>
      <c r="H10" s="110">
        <v>0.43</v>
      </c>
      <c r="I10" s="110">
        <v>0.41</v>
      </c>
      <c r="J10" s="143">
        <v>0.16</v>
      </c>
      <c r="K10" s="139">
        <v>50</v>
      </c>
      <c r="L10" s="133">
        <v>14</v>
      </c>
      <c r="M10" s="110" t="s">
        <v>486</v>
      </c>
      <c r="N10" s="26"/>
      <c r="O10" s="13"/>
      <c r="P10" s="13"/>
      <c r="Q10" s="13"/>
      <c r="R10" s="13"/>
      <c r="S10" s="13"/>
      <c r="T10" s="13"/>
      <c r="U10" s="13"/>
      <c r="V10" s="13"/>
      <c r="W10" s="13"/>
      <c r="X10" s="13"/>
      <c r="Y10" s="13"/>
      <c r="Z10" s="13"/>
      <c r="AA10" s="13"/>
      <c r="AB10" s="13"/>
    </row>
    <row r="11" spans="1:28" ht="15.5" x14ac:dyDescent="0.35">
      <c r="A11" s="147" t="s">
        <v>285</v>
      </c>
      <c r="B11" s="133">
        <v>155</v>
      </c>
      <c r="C11" s="144">
        <v>7.0000000000000001E-3</v>
      </c>
      <c r="D11" s="145">
        <v>130</v>
      </c>
      <c r="E11" s="139">
        <v>70</v>
      </c>
      <c r="F11" s="139">
        <v>45</v>
      </c>
      <c r="G11" s="133">
        <v>20</v>
      </c>
      <c r="H11" s="110">
        <v>0.52</v>
      </c>
      <c r="I11" s="110">
        <v>0.33</v>
      </c>
      <c r="J11" s="143">
        <v>0.16</v>
      </c>
      <c r="K11" s="139">
        <v>70</v>
      </c>
      <c r="L11" s="133">
        <v>11</v>
      </c>
      <c r="M11" s="110">
        <v>0.96</v>
      </c>
      <c r="N11" s="26"/>
      <c r="O11" s="13"/>
    </row>
    <row r="12" spans="1:28" ht="15.5" x14ac:dyDescent="0.35">
      <c r="A12" s="147" t="s">
        <v>286</v>
      </c>
      <c r="B12" s="133">
        <v>250</v>
      </c>
      <c r="C12" s="144">
        <v>1.2E-2</v>
      </c>
      <c r="D12" s="145">
        <v>200</v>
      </c>
      <c r="E12" s="139">
        <v>130</v>
      </c>
      <c r="F12" s="139">
        <v>45</v>
      </c>
      <c r="G12" s="133">
        <v>25</v>
      </c>
      <c r="H12" s="110">
        <v>0.64</v>
      </c>
      <c r="I12" s="110">
        <v>0.24</v>
      </c>
      <c r="J12" s="143">
        <v>0.13</v>
      </c>
      <c r="K12" s="139">
        <v>120</v>
      </c>
      <c r="L12" s="133">
        <v>9</v>
      </c>
      <c r="M12" s="110" t="s">
        <v>486</v>
      </c>
      <c r="N12" s="26"/>
      <c r="O12" s="13"/>
    </row>
    <row r="13" spans="1:28" ht="15.5" x14ac:dyDescent="0.35">
      <c r="A13" s="147" t="s">
        <v>287</v>
      </c>
      <c r="B13" s="133">
        <v>175</v>
      </c>
      <c r="C13" s="144">
        <v>1.2999999999999999E-2</v>
      </c>
      <c r="D13" s="145">
        <v>250</v>
      </c>
      <c r="E13" s="139">
        <v>170</v>
      </c>
      <c r="F13" s="139">
        <v>60</v>
      </c>
      <c r="G13" s="133">
        <v>20</v>
      </c>
      <c r="H13" s="110">
        <v>0.68</v>
      </c>
      <c r="I13" s="110">
        <v>0.24</v>
      </c>
      <c r="J13" s="143">
        <v>0.08</v>
      </c>
      <c r="K13" s="139">
        <v>45</v>
      </c>
      <c r="L13" s="133">
        <v>13</v>
      </c>
      <c r="M13" s="110">
        <v>0.97</v>
      </c>
      <c r="N13" s="26"/>
      <c r="O13" s="13"/>
    </row>
    <row r="14" spans="1:28" ht="15.5" x14ac:dyDescent="0.35">
      <c r="A14" s="147" t="s">
        <v>288</v>
      </c>
      <c r="B14" s="133">
        <v>85</v>
      </c>
      <c r="C14" s="144">
        <v>1.0999999999999999E-2</v>
      </c>
      <c r="D14" s="145">
        <v>100</v>
      </c>
      <c r="E14" s="139">
        <v>60</v>
      </c>
      <c r="F14" s="139">
        <v>25</v>
      </c>
      <c r="G14" s="133">
        <v>10</v>
      </c>
      <c r="H14" s="110">
        <v>0.62</v>
      </c>
      <c r="I14" s="110">
        <v>0.27</v>
      </c>
      <c r="J14" s="143">
        <v>0.11</v>
      </c>
      <c r="K14" s="139">
        <v>35</v>
      </c>
      <c r="L14" s="133">
        <v>11</v>
      </c>
      <c r="M14" s="110" t="s">
        <v>486</v>
      </c>
      <c r="N14" s="26"/>
      <c r="O14" s="13"/>
    </row>
    <row r="15" spans="1:28" ht="15.5" x14ac:dyDescent="0.35">
      <c r="A15" s="147" t="s">
        <v>289</v>
      </c>
      <c r="B15" s="133">
        <v>60</v>
      </c>
      <c r="C15" s="144">
        <v>8.9999999999999993E-3</v>
      </c>
      <c r="D15" s="145">
        <v>80</v>
      </c>
      <c r="E15" s="139">
        <v>40</v>
      </c>
      <c r="F15" s="139">
        <v>20</v>
      </c>
      <c r="G15" s="133">
        <v>20</v>
      </c>
      <c r="H15" s="110">
        <v>0.51</v>
      </c>
      <c r="I15" s="110">
        <v>0.24</v>
      </c>
      <c r="J15" s="143">
        <v>0.24</v>
      </c>
      <c r="K15" s="139">
        <v>15</v>
      </c>
      <c r="L15" s="133">
        <v>10</v>
      </c>
      <c r="M15" s="110" t="s">
        <v>486</v>
      </c>
      <c r="N15" s="26"/>
      <c r="O15" s="13"/>
    </row>
    <row r="16" spans="1:28" ht="15.5" x14ac:dyDescent="0.35">
      <c r="A16" s="147" t="s">
        <v>290</v>
      </c>
      <c r="B16" s="133">
        <v>55</v>
      </c>
      <c r="C16" s="144">
        <v>8.0000000000000002E-3</v>
      </c>
      <c r="D16" s="145">
        <v>50</v>
      </c>
      <c r="E16" s="139">
        <v>15</v>
      </c>
      <c r="F16" s="139">
        <v>10</v>
      </c>
      <c r="G16" s="133">
        <v>20</v>
      </c>
      <c r="H16" s="110">
        <v>0.35</v>
      </c>
      <c r="I16" s="110">
        <v>0.2</v>
      </c>
      <c r="J16" s="143">
        <v>0.45</v>
      </c>
      <c r="K16" s="139">
        <v>20</v>
      </c>
      <c r="L16" s="133">
        <v>12</v>
      </c>
      <c r="M16" s="110" t="s">
        <v>486</v>
      </c>
      <c r="N16" s="26"/>
      <c r="O16" s="13"/>
    </row>
    <row r="17" spans="1:15" ht="15.5" x14ac:dyDescent="0.35">
      <c r="A17" s="147" t="s">
        <v>291</v>
      </c>
      <c r="B17" s="133">
        <v>40</v>
      </c>
      <c r="C17" s="144">
        <v>5.0000000000000001E-3</v>
      </c>
      <c r="D17" s="145">
        <v>50</v>
      </c>
      <c r="E17" s="139">
        <v>25</v>
      </c>
      <c r="F17" s="139">
        <v>10</v>
      </c>
      <c r="G17" s="133">
        <v>15</v>
      </c>
      <c r="H17" s="110">
        <v>0.56000000000000005</v>
      </c>
      <c r="I17" s="110">
        <v>0.17</v>
      </c>
      <c r="J17" s="143">
        <v>0.27</v>
      </c>
      <c r="K17" s="139">
        <v>15</v>
      </c>
      <c r="L17" s="133">
        <v>15</v>
      </c>
      <c r="M17" s="110">
        <v>0.94</v>
      </c>
      <c r="N17" s="26"/>
      <c r="O17" s="13"/>
    </row>
    <row r="18" spans="1:15" ht="15.5" x14ac:dyDescent="0.35">
      <c r="A18" s="147" t="s">
        <v>292</v>
      </c>
      <c r="B18" s="133">
        <v>35</v>
      </c>
      <c r="C18" s="144">
        <v>5.0000000000000001E-3</v>
      </c>
      <c r="D18" s="145">
        <v>45</v>
      </c>
      <c r="E18" s="139">
        <v>20</v>
      </c>
      <c r="F18" s="139">
        <v>10</v>
      </c>
      <c r="G18" s="133">
        <v>15</v>
      </c>
      <c r="H18" s="110">
        <v>0.47</v>
      </c>
      <c r="I18" s="110">
        <v>0.24</v>
      </c>
      <c r="J18" s="143">
        <v>0.28999999999999998</v>
      </c>
      <c r="K18" s="139">
        <v>5</v>
      </c>
      <c r="L18" s="133">
        <v>11</v>
      </c>
      <c r="M18" s="110">
        <v>0.94</v>
      </c>
      <c r="N18" s="26"/>
      <c r="O18" s="13"/>
    </row>
    <row r="19" spans="1:15" ht="15.5" x14ac:dyDescent="0.35">
      <c r="A19" s="147" t="s">
        <v>293</v>
      </c>
      <c r="B19" s="133">
        <v>60</v>
      </c>
      <c r="C19" s="144">
        <v>8.0000000000000002E-3</v>
      </c>
      <c r="D19" s="145">
        <v>40</v>
      </c>
      <c r="E19" s="139">
        <v>10</v>
      </c>
      <c r="F19" s="139">
        <v>5</v>
      </c>
      <c r="G19" s="133">
        <v>20</v>
      </c>
      <c r="H19" s="110">
        <v>0.24</v>
      </c>
      <c r="I19" s="110">
        <v>0.18</v>
      </c>
      <c r="J19" s="143">
        <v>0.57999999999999996</v>
      </c>
      <c r="K19" s="139">
        <v>25</v>
      </c>
      <c r="L19" s="133">
        <v>9</v>
      </c>
      <c r="M19" s="110">
        <v>1</v>
      </c>
      <c r="N19" s="26"/>
      <c r="O19" s="13"/>
    </row>
    <row r="20" spans="1:15" ht="15.5" x14ac:dyDescent="0.35">
      <c r="A20" s="147" t="s">
        <v>281</v>
      </c>
      <c r="B20" s="133">
        <v>50</v>
      </c>
      <c r="C20" s="144">
        <v>6.0000000000000001E-3</v>
      </c>
      <c r="D20" s="145">
        <v>55</v>
      </c>
      <c r="E20" s="139">
        <v>20</v>
      </c>
      <c r="F20" s="139">
        <v>15</v>
      </c>
      <c r="G20" s="133">
        <v>20</v>
      </c>
      <c r="H20" s="110">
        <v>0.39</v>
      </c>
      <c r="I20" s="110">
        <v>0.25</v>
      </c>
      <c r="J20" s="143">
        <v>0.37</v>
      </c>
      <c r="K20" s="139">
        <v>20</v>
      </c>
      <c r="L20" s="133">
        <v>12</v>
      </c>
      <c r="M20" s="110">
        <v>1</v>
      </c>
      <c r="N20" s="26"/>
      <c r="O20" s="13"/>
    </row>
    <row r="21" spans="1:15" ht="15.5" x14ac:dyDescent="0.35">
      <c r="A21" s="147" t="s">
        <v>294</v>
      </c>
      <c r="B21" s="133">
        <v>60</v>
      </c>
      <c r="C21" s="144">
        <v>6.0000000000000001E-3</v>
      </c>
      <c r="D21" s="145">
        <v>55</v>
      </c>
      <c r="E21" s="139">
        <v>30</v>
      </c>
      <c r="F21" s="139">
        <v>20</v>
      </c>
      <c r="G21" s="133">
        <v>10</v>
      </c>
      <c r="H21" s="110">
        <v>0.49</v>
      </c>
      <c r="I21" s="110">
        <v>0.37</v>
      </c>
      <c r="J21" s="143">
        <v>0.14000000000000001</v>
      </c>
      <c r="K21" s="139">
        <v>25</v>
      </c>
      <c r="L21" s="133">
        <v>11</v>
      </c>
      <c r="M21" s="110" t="s">
        <v>486</v>
      </c>
      <c r="N21" s="26"/>
      <c r="O21" s="13"/>
    </row>
    <row r="22" spans="1:15" ht="15.5" x14ac:dyDescent="0.35">
      <c r="A22" s="147" t="s">
        <v>295</v>
      </c>
      <c r="B22" s="133">
        <v>95</v>
      </c>
      <c r="C22" s="144">
        <v>1.4999999999999999E-2</v>
      </c>
      <c r="D22" s="145">
        <v>90</v>
      </c>
      <c r="E22" s="139">
        <v>30</v>
      </c>
      <c r="F22" s="139">
        <v>10</v>
      </c>
      <c r="G22" s="133">
        <v>50</v>
      </c>
      <c r="H22" s="110">
        <v>0.34</v>
      </c>
      <c r="I22" s="110">
        <v>0.12</v>
      </c>
      <c r="J22" s="143">
        <v>0.53</v>
      </c>
      <c r="K22" s="139">
        <v>30</v>
      </c>
      <c r="L22" s="133">
        <v>8</v>
      </c>
      <c r="M22" s="110" t="s">
        <v>486</v>
      </c>
      <c r="N22" s="26"/>
      <c r="O22" s="13"/>
    </row>
    <row r="23" spans="1:15" ht="15.5" x14ac:dyDescent="0.35">
      <c r="A23" s="147" t="s">
        <v>296</v>
      </c>
      <c r="B23" s="133">
        <v>120</v>
      </c>
      <c r="C23" s="144">
        <v>1.9E-2</v>
      </c>
      <c r="D23" s="145">
        <v>110</v>
      </c>
      <c r="E23" s="139">
        <v>35</v>
      </c>
      <c r="F23" s="139">
        <v>15</v>
      </c>
      <c r="G23" s="133">
        <v>65</v>
      </c>
      <c r="H23" s="110">
        <v>0.32</v>
      </c>
      <c r="I23" s="110">
        <v>0.12</v>
      </c>
      <c r="J23" s="143">
        <v>0.56000000000000005</v>
      </c>
      <c r="K23" s="139">
        <v>35</v>
      </c>
      <c r="L23" s="133">
        <v>10</v>
      </c>
      <c r="M23" s="110">
        <v>1</v>
      </c>
      <c r="N23" s="26"/>
      <c r="O23" s="13"/>
    </row>
    <row r="24" spans="1:15" ht="15.5" x14ac:dyDescent="0.35">
      <c r="A24" s="147" t="s">
        <v>297</v>
      </c>
      <c r="B24" s="133">
        <v>150</v>
      </c>
      <c r="C24" s="144">
        <v>1.4E-2</v>
      </c>
      <c r="D24" s="145">
        <v>130</v>
      </c>
      <c r="E24" s="139">
        <v>40</v>
      </c>
      <c r="F24" s="139">
        <v>15</v>
      </c>
      <c r="G24" s="133">
        <v>75</v>
      </c>
      <c r="H24" s="110">
        <v>0.31</v>
      </c>
      <c r="I24" s="110">
        <v>0.13</v>
      </c>
      <c r="J24" s="143">
        <v>0.56000000000000005</v>
      </c>
      <c r="K24" s="139">
        <v>50</v>
      </c>
      <c r="L24" s="133">
        <v>11</v>
      </c>
      <c r="M24" s="110">
        <v>0.97</v>
      </c>
      <c r="N24" s="26"/>
      <c r="O24" s="13"/>
    </row>
    <row r="25" spans="1:15" ht="15.5" x14ac:dyDescent="0.35">
      <c r="A25" s="147" t="s">
        <v>298</v>
      </c>
      <c r="B25" s="133">
        <v>105</v>
      </c>
      <c r="C25" s="144">
        <v>6.0000000000000001E-3</v>
      </c>
      <c r="D25" s="145">
        <v>110</v>
      </c>
      <c r="E25" s="139">
        <v>40</v>
      </c>
      <c r="F25" s="139">
        <v>25</v>
      </c>
      <c r="G25" s="133">
        <v>40</v>
      </c>
      <c r="H25" s="110">
        <v>0.38</v>
      </c>
      <c r="I25" s="110">
        <v>0.25</v>
      </c>
      <c r="J25" s="143">
        <v>0.38</v>
      </c>
      <c r="K25" s="139">
        <v>45</v>
      </c>
      <c r="L25" s="133">
        <v>13</v>
      </c>
      <c r="M25" s="110">
        <v>0.94</v>
      </c>
      <c r="N25" s="26"/>
      <c r="O25" s="13"/>
    </row>
    <row r="26" spans="1:15" ht="15.5" x14ac:dyDescent="0.35">
      <c r="A26" s="147" t="s">
        <v>299</v>
      </c>
      <c r="B26" s="133">
        <v>95</v>
      </c>
      <c r="C26" s="144">
        <v>8.9999999999999993E-3</v>
      </c>
      <c r="D26" s="145">
        <v>90</v>
      </c>
      <c r="E26" s="139">
        <v>30</v>
      </c>
      <c r="F26" s="139">
        <v>20</v>
      </c>
      <c r="G26" s="133">
        <v>35</v>
      </c>
      <c r="H26" s="110">
        <v>0.36</v>
      </c>
      <c r="I26" s="110">
        <v>0.22</v>
      </c>
      <c r="J26" s="143">
        <v>0.42</v>
      </c>
      <c r="K26" s="139">
        <v>55</v>
      </c>
      <c r="L26" s="133">
        <v>14</v>
      </c>
      <c r="M26" s="110">
        <v>0.84</v>
      </c>
      <c r="N26" s="26"/>
      <c r="O26" s="13"/>
    </row>
    <row r="27" spans="1:15" ht="15.5" x14ac:dyDescent="0.35">
      <c r="A27" s="147" t="s">
        <v>300</v>
      </c>
      <c r="B27" s="133">
        <v>130</v>
      </c>
      <c r="C27" s="144">
        <v>1.0999999999999999E-2</v>
      </c>
      <c r="D27" s="145">
        <v>115</v>
      </c>
      <c r="E27" s="139">
        <v>55</v>
      </c>
      <c r="F27" s="139">
        <v>20</v>
      </c>
      <c r="G27" s="133">
        <v>40</v>
      </c>
      <c r="H27" s="110">
        <v>0.46</v>
      </c>
      <c r="I27" s="110">
        <v>0.18</v>
      </c>
      <c r="J27" s="143">
        <v>0.36</v>
      </c>
      <c r="K27" s="139">
        <v>65</v>
      </c>
      <c r="L27" s="133">
        <v>13</v>
      </c>
      <c r="M27" s="110">
        <v>0.96</v>
      </c>
      <c r="N27" s="26"/>
      <c r="O27" s="13"/>
    </row>
    <row r="28" spans="1:15" ht="15.5" x14ac:dyDescent="0.35">
      <c r="A28" s="147" t="s">
        <v>301</v>
      </c>
      <c r="B28" s="133">
        <v>115</v>
      </c>
      <c r="C28" s="144">
        <v>1.6E-2</v>
      </c>
      <c r="D28" s="145">
        <v>125</v>
      </c>
      <c r="E28" s="139">
        <v>60</v>
      </c>
      <c r="F28" s="139">
        <v>20</v>
      </c>
      <c r="G28" s="133">
        <v>40</v>
      </c>
      <c r="H28" s="110">
        <v>0.5</v>
      </c>
      <c r="I28" s="110">
        <v>0.17</v>
      </c>
      <c r="J28" s="143">
        <v>0.33</v>
      </c>
      <c r="K28" s="139">
        <v>55</v>
      </c>
      <c r="L28" s="133">
        <v>13</v>
      </c>
      <c r="M28" s="110">
        <v>0.9</v>
      </c>
      <c r="N28" s="26"/>
      <c r="O28" s="13"/>
    </row>
    <row r="29" spans="1:15" ht="15.5" x14ac:dyDescent="0.35">
      <c r="A29" s="147" t="s">
        <v>302</v>
      </c>
      <c r="B29" s="133">
        <v>90</v>
      </c>
      <c r="C29" s="144">
        <v>1.4E-2</v>
      </c>
      <c r="D29" s="145">
        <v>105</v>
      </c>
      <c r="E29" s="139">
        <v>45</v>
      </c>
      <c r="F29" s="139">
        <v>20</v>
      </c>
      <c r="G29" s="133">
        <v>40</v>
      </c>
      <c r="H29" s="110">
        <v>0.42</v>
      </c>
      <c r="I29" s="110">
        <v>0.21</v>
      </c>
      <c r="J29" s="143">
        <v>0.38</v>
      </c>
      <c r="K29" s="139">
        <v>40</v>
      </c>
      <c r="L29" s="133">
        <v>13</v>
      </c>
      <c r="M29" s="110">
        <v>0.91</v>
      </c>
      <c r="N29" s="26"/>
      <c r="O29" s="13"/>
    </row>
    <row r="30" spans="1:15" ht="15.5" x14ac:dyDescent="0.35">
      <c r="A30" s="148" t="s">
        <v>303</v>
      </c>
      <c r="B30" s="133">
        <v>45</v>
      </c>
      <c r="C30" s="144">
        <v>6.0000000000000001E-3</v>
      </c>
      <c r="D30" s="145">
        <v>55</v>
      </c>
      <c r="E30" s="139">
        <v>20</v>
      </c>
      <c r="F30" s="139">
        <v>20</v>
      </c>
      <c r="G30" s="133">
        <v>15</v>
      </c>
      <c r="H30" s="110">
        <v>0.36</v>
      </c>
      <c r="I30" s="110">
        <v>0.38</v>
      </c>
      <c r="J30" s="143">
        <v>0.25</v>
      </c>
      <c r="K30" s="139">
        <v>30</v>
      </c>
      <c r="L30" s="133">
        <v>10</v>
      </c>
      <c r="M30" s="110" t="s">
        <v>486</v>
      </c>
      <c r="N30" s="26"/>
      <c r="O30" s="13"/>
    </row>
    <row r="31" spans="1:15" ht="15.5" x14ac:dyDescent="0.35">
      <c r="A31" s="149" t="s">
        <v>304</v>
      </c>
      <c r="B31" s="133">
        <v>55</v>
      </c>
      <c r="C31" s="144">
        <v>8.0000000000000002E-3</v>
      </c>
      <c r="D31" s="145">
        <v>55</v>
      </c>
      <c r="E31" s="139">
        <v>15</v>
      </c>
      <c r="F31" s="139">
        <v>10</v>
      </c>
      <c r="G31" s="133">
        <v>30</v>
      </c>
      <c r="H31" s="110">
        <v>0.3</v>
      </c>
      <c r="I31" s="110">
        <v>0.17</v>
      </c>
      <c r="J31" s="143">
        <v>0.53</v>
      </c>
      <c r="K31" s="139">
        <v>30</v>
      </c>
      <c r="L31" s="133">
        <v>11</v>
      </c>
      <c r="M31" s="110" t="s">
        <v>486</v>
      </c>
      <c r="N31" s="26"/>
      <c r="O31" s="13"/>
    </row>
    <row r="32" spans="1:15" ht="15.5" x14ac:dyDescent="0.35">
      <c r="A32" s="149" t="s">
        <v>282</v>
      </c>
      <c r="B32" s="133">
        <v>70</v>
      </c>
      <c r="C32" s="144">
        <v>8.0000000000000002E-3</v>
      </c>
      <c r="D32" s="145">
        <v>65</v>
      </c>
      <c r="E32" s="139">
        <v>20</v>
      </c>
      <c r="F32" s="139">
        <v>15</v>
      </c>
      <c r="G32" s="133">
        <v>30</v>
      </c>
      <c r="H32" s="110">
        <v>0.32</v>
      </c>
      <c r="I32" s="110">
        <v>0.21</v>
      </c>
      <c r="J32" s="143">
        <v>0.48</v>
      </c>
      <c r="K32" s="139">
        <v>35</v>
      </c>
      <c r="L32" s="133">
        <v>10</v>
      </c>
      <c r="M32" s="110">
        <f>31/33</f>
        <v>0.93939393939393945</v>
      </c>
      <c r="N32" s="26"/>
      <c r="O32" s="13"/>
    </row>
    <row r="33" spans="1:15" ht="15.5" x14ac:dyDescent="0.35">
      <c r="A33" s="149" t="s">
        <v>305</v>
      </c>
      <c r="B33" s="133">
        <v>80</v>
      </c>
      <c r="C33" s="144">
        <v>8.0000000000000002E-3</v>
      </c>
      <c r="D33" s="145">
        <v>90</v>
      </c>
      <c r="E33" s="139">
        <v>35</v>
      </c>
      <c r="F33" s="139">
        <v>15</v>
      </c>
      <c r="G33" s="133">
        <v>45</v>
      </c>
      <c r="H33" s="110">
        <v>0.37</v>
      </c>
      <c r="I33" s="110">
        <v>0.15</v>
      </c>
      <c r="J33" s="143">
        <v>0.48</v>
      </c>
      <c r="K33" s="139">
        <v>30</v>
      </c>
      <c r="L33" s="133">
        <v>6</v>
      </c>
      <c r="M33" s="110">
        <f>43/46</f>
        <v>0.93478260869565222</v>
      </c>
      <c r="N33" s="26"/>
      <c r="O33" s="13"/>
    </row>
    <row r="34" spans="1:15" ht="15.5" x14ac:dyDescent="0.35">
      <c r="A34" s="149" t="s">
        <v>306</v>
      </c>
      <c r="B34" s="133">
        <v>55</v>
      </c>
      <c r="C34" s="144">
        <v>6.0000000000000001E-3</v>
      </c>
      <c r="D34" s="145">
        <v>60</v>
      </c>
      <c r="E34" s="139">
        <v>20</v>
      </c>
      <c r="F34" s="139">
        <v>10</v>
      </c>
      <c r="G34" s="133">
        <v>30</v>
      </c>
      <c r="H34" s="110">
        <v>0.33</v>
      </c>
      <c r="I34" s="110">
        <v>0.2</v>
      </c>
      <c r="J34" s="143">
        <v>0.47</v>
      </c>
      <c r="K34" s="139">
        <v>20</v>
      </c>
      <c r="L34" s="133">
        <v>6</v>
      </c>
      <c r="M34" s="110" t="s">
        <v>486</v>
      </c>
      <c r="N34" s="26"/>
      <c r="O34" s="13"/>
    </row>
    <row r="35" spans="1:15" ht="15.5" x14ac:dyDescent="0.35">
      <c r="A35" s="149" t="s">
        <v>307</v>
      </c>
      <c r="B35" s="133">
        <v>55</v>
      </c>
      <c r="C35" s="144">
        <v>7.0000000000000001E-3</v>
      </c>
      <c r="D35" s="145">
        <v>55</v>
      </c>
      <c r="E35" s="139">
        <v>15</v>
      </c>
      <c r="F35" s="139">
        <v>10</v>
      </c>
      <c r="G35" s="133">
        <v>30</v>
      </c>
      <c r="H35" s="110">
        <v>0.25</v>
      </c>
      <c r="I35" s="110">
        <v>0.19</v>
      </c>
      <c r="J35" s="143">
        <v>0.56999999999999995</v>
      </c>
      <c r="K35" s="139">
        <v>25</v>
      </c>
      <c r="L35" s="133">
        <v>7</v>
      </c>
      <c r="M35" s="110" t="s">
        <v>486</v>
      </c>
      <c r="N35" s="26"/>
      <c r="O35" s="13"/>
    </row>
    <row r="36" spans="1:15" s="21" customFormat="1" ht="15.5" x14ac:dyDescent="0.35">
      <c r="A36" s="63" t="s">
        <v>9</v>
      </c>
      <c r="B36" s="82"/>
      <c r="C36" s="82"/>
      <c r="D36" s="82"/>
      <c r="E36" s="82"/>
      <c r="F36" s="82"/>
      <c r="G36" s="249"/>
      <c r="H36" s="82"/>
      <c r="I36" s="82"/>
      <c r="J36" s="82"/>
      <c r="K36" s="251"/>
      <c r="L36" s="82"/>
      <c r="M36" s="82"/>
      <c r="N36" s="26"/>
    </row>
    <row r="37" spans="1:15" ht="15.5" x14ac:dyDescent="0.35">
      <c r="A37" s="63" t="s">
        <v>79</v>
      </c>
      <c r="B37" s="26"/>
      <c r="C37" s="26"/>
      <c r="D37" s="26"/>
      <c r="E37" s="26"/>
      <c r="F37" s="26"/>
      <c r="G37" s="26"/>
      <c r="H37" s="26"/>
      <c r="I37" s="26"/>
      <c r="J37" s="26"/>
      <c r="K37" s="78"/>
      <c r="L37" s="26"/>
      <c r="M37" s="26"/>
      <c r="N37" s="26"/>
    </row>
    <row r="38" spans="1:15" s="21" customFormat="1" ht="15.5" x14ac:dyDescent="0.35">
      <c r="A38" s="63" t="s">
        <v>717</v>
      </c>
      <c r="B38" s="36"/>
      <c r="C38" s="36"/>
      <c r="D38" s="36"/>
      <c r="E38" s="36"/>
      <c r="F38" s="36"/>
      <c r="G38" s="36"/>
      <c r="H38" s="36"/>
      <c r="I38" s="36"/>
      <c r="J38" s="36"/>
      <c r="K38" s="179"/>
      <c r="L38" s="36"/>
      <c r="M38" s="36"/>
      <c r="N38" s="36"/>
    </row>
    <row r="39" spans="1:15" ht="15.5" x14ac:dyDescent="0.35">
      <c r="A39" s="26" t="s">
        <v>718</v>
      </c>
      <c r="B39" s="26"/>
      <c r="C39" s="26"/>
      <c r="D39" s="26"/>
      <c r="E39" s="26"/>
      <c r="F39" s="26"/>
      <c r="G39" s="26"/>
      <c r="H39" s="26"/>
      <c r="I39" s="26"/>
      <c r="J39" s="26"/>
      <c r="K39" s="26"/>
      <c r="L39" s="26"/>
      <c r="M39" s="26"/>
      <c r="N39" s="26"/>
    </row>
    <row r="40" spans="1:15" s="156" customFormat="1" ht="15.5" x14ac:dyDescent="0.35">
      <c r="A40" s="45" t="s">
        <v>727</v>
      </c>
      <c r="B40" s="27"/>
      <c r="C40" s="27"/>
      <c r="D40" s="27"/>
      <c r="E40" s="27"/>
      <c r="F40" s="27"/>
      <c r="G40" s="27"/>
      <c r="H40" s="27"/>
      <c r="I40" s="27"/>
      <c r="J40" s="27"/>
      <c r="K40" s="27"/>
      <c r="L40" s="27"/>
      <c r="M40" s="27"/>
      <c r="N40" s="27"/>
    </row>
    <row r="41" spans="1:15" ht="15.5" x14ac:dyDescent="0.35">
      <c r="A41" s="26" t="s">
        <v>728</v>
      </c>
      <c r="B41" s="26"/>
      <c r="C41" s="26"/>
      <c r="D41" s="26"/>
      <c r="E41" s="26"/>
      <c r="F41" s="26"/>
      <c r="G41" s="26"/>
      <c r="H41" s="26"/>
      <c r="I41" s="26"/>
      <c r="J41" s="26"/>
      <c r="K41" s="26"/>
      <c r="L41" s="26"/>
      <c r="M41" s="26"/>
      <c r="N41" s="26"/>
    </row>
    <row r="42" spans="1:15" ht="15.5" x14ac:dyDescent="0.35">
      <c r="C42" s="98"/>
      <c r="D42" s="99"/>
      <c r="K42" s="26"/>
      <c r="L42" s="26"/>
      <c r="M42" s="26"/>
      <c r="N42" s="78"/>
    </row>
    <row r="43" spans="1:15" ht="15.5" x14ac:dyDescent="0.35">
      <c r="C43" s="98"/>
      <c r="D43" s="99"/>
      <c r="E43" s="99"/>
      <c r="K43" s="26"/>
      <c r="L43" s="26"/>
      <c r="M43" s="26"/>
      <c r="N43" s="26"/>
    </row>
  </sheetData>
  <conditionalFormatting sqref="H4:N4 H36:N36 N5:N35">
    <cfRule type="dataBar" priority="76">
      <dataBar>
        <cfvo type="num" val="0"/>
        <cfvo type="num" val="1"/>
        <color theme="4" tint="-0.249977111117893"/>
      </dataBar>
      <extLst>
        <ext xmlns:x14="http://schemas.microsoft.com/office/spreadsheetml/2009/9/main" uri="{B025F937-C7B1-47D3-B67F-A62EFF666E3E}">
          <x14:id>{688E8E4F-7568-4491-B6C0-3C87710A74FD}</x14:id>
        </ext>
      </extLst>
    </cfRule>
  </conditionalFormatting>
  <conditionalFormatting sqref="C6">
    <cfRule type="dataBar" priority="26">
      <dataBar>
        <cfvo type="num" val="0"/>
        <cfvo type="num" val="1"/>
        <color rgb="FFB4A9D4"/>
      </dataBar>
      <extLst>
        <ext xmlns:x14="http://schemas.microsoft.com/office/spreadsheetml/2009/9/main" uri="{B025F937-C7B1-47D3-B67F-A62EFF666E3E}">
          <x14:id>{94BFD9D2-EECA-43ED-805A-6F05F6E792B5}</x14:id>
        </ext>
      </extLst>
    </cfRule>
  </conditionalFormatting>
  <conditionalFormatting sqref="C5">
    <cfRule type="dataBar" priority="12">
      <dataBar>
        <cfvo type="num" val="0"/>
        <cfvo type="num" val="1"/>
        <color rgb="FFB4A9D4"/>
      </dataBar>
      <extLst>
        <ext xmlns:x14="http://schemas.microsoft.com/office/spreadsheetml/2009/9/main" uri="{B025F937-C7B1-47D3-B67F-A62EFF666E3E}">
          <x14:id>{A2623CA6-6594-464A-8D4F-B4220D8275DC}</x14:id>
        </ext>
      </extLst>
    </cfRule>
  </conditionalFormatting>
  <conditionalFormatting sqref="H6:J6 I7:J7">
    <cfRule type="dataBar" priority="10">
      <dataBar>
        <cfvo type="num" val="0"/>
        <cfvo type="num" val="1"/>
        <color rgb="FFB4A9D4"/>
      </dataBar>
      <extLst>
        <ext xmlns:x14="http://schemas.microsoft.com/office/spreadsheetml/2009/9/main" uri="{B025F937-C7B1-47D3-B67F-A62EFF666E3E}">
          <x14:id>{5D22370A-0FE9-4A50-8513-E4A01FF93116}</x14:id>
        </ext>
      </extLst>
    </cfRule>
  </conditionalFormatting>
  <conditionalFormatting sqref="M6:M35">
    <cfRule type="dataBar" priority="8">
      <dataBar>
        <cfvo type="num" val="0"/>
        <cfvo type="num" val="1"/>
        <color rgb="FFB4A9D4"/>
      </dataBar>
      <extLst>
        <ext xmlns:x14="http://schemas.microsoft.com/office/spreadsheetml/2009/9/main" uri="{B025F937-C7B1-47D3-B67F-A62EFF666E3E}">
          <x14:id>{855A1AAD-3E02-4EA6-9A96-A4B51FB3DDD5}</x14:id>
        </ext>
      </extLst>
    </cfRule>
  </conditionalFormatting>
  <conditionalFormatting sqref="M5">
    <cfRule type="dataBar" priority="7">
      <dataBar>
        <cfvo type="num" val="0"/>
        <cfvo type="num" val="1"/>
        <color rgb="FFB4A9D4"/>
      </dataBar>
      <extLst>
        <ext xmlns:x14="http://schemas.microsoft.com/office/spreadsheetml/2009/9/main" uri="{B025F937-C7B1-47D3-B67F-A62EFF666E3E}">
          <x14:id>{41F6C0CC-23CA-41A7-AAD4-C881D5BC576E}</x14:id>
        </ext>
      </extLst>
    </cfRule>
  </conditionalFormatting>
  <conditionalFormatting sqref="C7:C35">
    <cfRule type="dataBar" priority="1">
      <dataBar>
        <cfvo type="num" val="0"/>
        <cfvo type="num" val="1"/>
        <color rgb="FFB4A9D4"/>
      </dataBar>
      <extLst>
        <ext xmlns:x14="http://schemas.microsoft.com/office/spreadsheetml/2009/9/main" uri="{B025F937-C7B1-47D3-B67F-A62EFF666E3E}">
          <x14:id>{D979FA28-DC4B-4150-9F52-4FE265ABD7EF}</x14:id>
        </ext>
      </extLst>
    </cfRule>
  </conditionalFormatting>
  <conditionalFormatting sqref="H7:H35">
    <cfRule type="dataBar" priority="4">
      <dataBar>
        <cfvo type="num" val="0"/>
        <cfvo type="num" val="1"/>
        <color rgb="FFB4A9D4"/>
      </dataBar>
      <extLst>
        <ext xmlns:x14="http://schemas.microsoft.com/office/spreadsheetml/2009/9/main" uri="{B025F937-C7B1-47D3-B67F-A62EFF666E3E}">
          <x14:id>{331EBB79-188C-49E2-97D4-D7AFEFF81A0E}</x14:id>
        </ext>
      </extLst>
    </cfRule>
  </conditionalFormatting>
  <conditionalFormatting sqref="H5:J5">
    <cfRule type="dataBar" priority="5">
      <dataBar>
        <cfvo type="num" val="0"/>
        <cfvo type="num" val="1"/>
        <color rgb="FFB4A9D4"/>
      </dataBar>
      <extLst>
        <ext xmlns:x14="http://schemas.microsoft.com/office/spreadsheetml/2009/9/main" uri="{B025F937-C7B1-47D3-B67F-A62EFF666E3E}">
          <x14:id>{3824F8A6-C4E5-4E04-8641-D17DE456BD40}</x14:id>
        </ext>
      </extLst>
    </cfRule>
  </conditionalFormatting>
  <conditionalFormatting sqref="I8:J35">
    <cfRule type="dataBar" priority="3">
      <dataBar>
        <cfvo type="num" val="0"/>
        <cfvo type="num" val="1"/>
        <color rgb="FFB4A9D4"/>
      </dataBar>
      <extLst>
        <ext xmlns:x14="http://schemas.microsoft.com/office/spreadsheetml/2009/9/main" uri="{B025F937-C7B1-47D3-B67F-A62EFF666E3E}">
          <x14:id>{585E534B-8357-43AC-A3A1-8EA531772D0A}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88E8E4F-7568-4491-B6C0-3C87710A74FD}">
            <x14:dataBar minLength="0" maxLength="100" border="1">
              <x14:cfvo type="num">
                <xm:f>0</xm:f>
              </x14:cfvo>
              <x14:cfvo type="num">
                <xm:f>1</xm:f>
              </x14:cfvo>
              <x14:borderColor theme="8" tint="0.39997558519241921"/>
              <x14:negativeFillColor rgb="FFFF0000"/>
              <x14:axisColor rgb="FF000000"/>
            </x14:dataBar>
          </x14:cfRule>
          <xm:sqref>H4:N4 H36:N36 N5:N35</xm:sqref>
        </x14:conditionalFormatting>
        <x14:conditionalFormatting xmlns:xm="http://schemas.microsoft.com/office/excel/2006/main">
          <x14:cfRule type="dataBar" id="{94BFD9D2-EECA-43ED-805A-6F05F6E792B5}">
            <x14:dataBar minLength="0" maxLength="100" gradient="0">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A2623CA6-6594-464A-8D4F-B4220D8275DC}">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5D22370A-0FE9-4A50-8513-E4A01FF93116}">
            <x14:dataBar minLength="0" maxLength="100" gradient="0">
              <x14:cfvo type="num">
                <xm:f>0</xm:f>
              </x14:cfvo>
              <x14:cfvo type="num">
                <xm:f>1</xm:f>
              </x14:cfvo>
              <x14:negativeFillColor rgb="FFFF0000"/>
              <x14:axisColor rgb="FF000000"/>
            </x14:dataBar>
          </x14:cfRule>
          <xm:sqref>H6:J6 I7:J7</xm:sqref>
        </x14:conditionalFormatting>
        <x14:conditionalFormatting xmlns:xm="http://schemas.microsoft.com/office/excel/2006/main">
          <x14:cfRule type="dataBar" id="{855A1AAD-3E02-4EA6-9A96-A4B51FB3DDD5}">
            <x14:dataBar minLength="0" maxLength="100" gradient="0">
              <x14:cfvo type="num">
                <xm:f>0</xm:f>
              </x14:cfvo>
              <x14:cfvo type="num">
                <xm:f>1</xm:f>
              </x14:cfvo>
              <x14:negativeFillColor rgb="FFFF0000"/>
              <x14:axisColor rgb="FF000000"/>
            </x14:dataBar>
          </x14:cfRule>
          <xm:sqref>M6:M35</xm:sqref>
        </x14:conditionalFormatting>
        <x14:conditionalFormatting xmlns:xm="http://schemas.microsoft.com/office/excel/2006/main">
          <x14:cfRule type="dataBar" id="{41F6C0CC-23CA-41A7-AAD4-C881D5BC576E}">
            <x14:dataBar minLength="0" maxLength="100" gradient="0">
              <x14:cfvo type="num">
                <xm:f>0</xm:f>
              </x14:cfvo>
              <x14:cfvo type="num">
                <xm:f>1</xm:f>
              </x14:cfvo>
              <x14:negativeFillColor rgb="FFFF0000"/>
              <x14:axisColor rgb="FF000000"/>
            </x14:dataBar>
          </x14:cfRule>
          <xm:sqref>M5</xm:sqref>
        </x14:conditionalFormatting>
        <x14:conditionalFormatting xmlns:xm="http://schemas.microsoft.com/office/excel/2006/main">
          <x14:cfRule type="dataBar" id="{D979FA28-DC4B-4150-9F52-4FE265ABD7EF}">
            <x14:dataBar minLength="0" maxLength="100" gradient="0">
              <x14:cfvo type="num">
                <xm:f>0</xm:f>
              </x14:cfvo>
              <x14:cfvo type="num">
                <xm:f>1</xm:f>
              </x14:cfvo>
              <x14:negativeFillColor rgb="FFFF0000"/>
              <x14:axisColor rgb="FF000000"/>
            </x14:dataBar>
          </x14:cfRule>
          <xm:sqref>C7:C35</xm:sqref>
        </x14:conditionalFormatting>
        <x14:conditionalFormatting xmlns:xm="http://schemas.microsoft.com/office/excel/2006/main">
          <x14:cfRule type="dataBar" id="{331EBB79-188C-49E2-97D4-D7AFEFF81A0E}">
            <x14:dataBar minLength="0" maxLength="100" gradient="0">
              <x14:cfvo type="num">
                <xm:f>0</xm:f>
              </x14:cfvo>
              <x14:cfvo type="num">
                <xm:f>1</xm:f>
              </x14:cfvo>
              <x14:negativeFillColor rgb="FFFF0000"/>
              <x14:axisColor rgb="FF000000"/>
            </x14:dataBar>
          </x14:cfRule>
          <xm:sqref>H7:H35</xm:sqref>
        </x14:conditionalFormatting>
        <x14:conditionalFormatting xmlns:xm="http://schemas.microsoft.com/office/excel/2006/main">
          <x14:cfRule type="dataBar" id="{3824F8A6-C4E5-4E04-8641-D17DE456BD40}">
            <x14:dataBar minLength="0" maxLength="100" gradient="0">
              <x14:cfvo type="num">
                <xm:f>0</xm:f>
              </x14:cfvo>
              <x14:cfvo type="num">
                <xm:f>1</xm:f>
              </x14:cfvo>
              <x14:negativeFillColor rgb="FFFF0000"/>
              <x14:axisColor rgb="FF000000"/>
            </x14:dataBar>
          </x14:cfRule>
          <xm:sqref>H5:J5</xm:sqref>
        </x14:conditionalFormatting>
        <x14:conditionalFormatting xmlns:xm="http://schemas.microsoft.com/office/excel/2006/main">
          <x14:cfRule type="dataBar" id="{585E534B-8357-43AC-A3A1-8EA531772D0A}">
            <x14:dataBar minLength="0" maxLength="100" gradient="0">
              <x14:cfvo type="num">
                <xm:f>0</xm:f>
              </x14:cfvo>
              <x14:cfvo type="num">
                <xm:f>1</xm:f>
              </x14:cfvo>
              <x14:negativeFillColor rgb="FFFF0000"/>
              <x14:axisColor rgb="FF000000"/>
            </x14:dataBar>
          </x14:cfRule>
          <xm:sqref>I8:J35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45"/>
  <sheetViews>
    <sheetView zoomScale="75" zoomScaleNormal="75" workbookViewId="0"/>
  </sheetViews>
  <sheetFormatPr defaultRowHeight="14.5" x14ac:dyDescent="0.35"/>
  <cols>
    <col min="1" max="1" width="27.453125" customWidth="1"/>
    <col min="2" max="7" width="19.1796875" customWidth="1"/>
  </cols>
  <sheetData>
    <row r="1" spans="1:37" ht="21" x14ac:dyDescent="0.5">
      <c r="A1" s="165" t="s">
        <v>329</v>
      </c>
      <c r="B1" s="83"/>
      <c r="C1" s="83"/>
      <c r="D1" s="83"/>
      <c r="E1" s="83"/>
      <c r="F1" s="83"/>
      <c r="G1" s="83"/>
      <c r="H1" s="28"/>
      <c r="I1" s="28"/>
      <c r="J1" s="28"/>
      <c r="K1" s="26"/>
      <c r="L1" s="26"/>
      <c r="M1" s="26"/>
      <c r="N1" s="26"/>
      <c r="O1" s="26"/>
      <c r="P1" s="26"/>
      <c r="Q1" s="26"/>
      <c r="R1" s="86"/>
      <c r="S1" s="86"/>
      <c r="T1" s="86"/>
      <c r="U1" s="86"/>
      <c r="V1" s="86"/>
      <c r="W1" s="13"/>
      <c r="X1" s="13"/>
      <c r="Y1" s="13"/>
      <c r="Z1" s="13"/>
      <c r="AA1" s="13"/>
      <c r="AB1" s="13"/>
      <c r="AC1" s="13"/>
      <c r="AD1" s="13"/>
      <c r="AE1" s="13"/>
      <c r="AF1" s="13"/>
      <c r="AG1" s="21"/>
      <c r="AH1" s="21"/>
      <c r="AI1" s="21"/>
      <c r="AJ1" s="21"/>
      <c r="AK1" s="21"/>
    </row>
    <row r="2" spans="1:37" ht="15.5" x14ac:dyDescent="0.35">
      <c r="A2" s="80" t="s">
        <v>332</v>
      </c>
      <c r="B2" s="62"/>
      <c r="C2" s="62"/>
      <c r="D2" s="62"/>
      <c r="E2" s="62"/>
      <c r="F2" s="62"/>
      <c r="G2" s="62"/>
      <c r="H2" s="28"/>
      <c r="I2" s="28"/>
      <c r="J2" s="28"/>
      <c r="K2" s="69"/>
      <c r="L2" s="69"/>
      <c r="M2" s="69"/>
      <c r="N2" s="69"/>
      <c r="O2" s="26"/>
      <c r="P2" s="26"/>
      <c r="Q2" s="26"/>
      <c r="R2" s="86"/>
      <c r="S2" s="86"/>
      <c r="T2" s="86"/>
      <c r="U2" s="86"/>
      <c r="V2" s="86"/>
      <c r="W2" s="13"/>
      <c r="X2" s="13"/>
      <c r="Y2" s="13"/>
      <c r="Z2" s="13"/>
      <c r="AA2" s="13"/>
      <c r="AB2" s="13"/>
      <c r="AC2" s="13"/>
      <c r="AD2" s="13"/>
      <c r="AE2" s="13"/>
      <c r="AF2" s="13"/>
      <c r="AG2" s="21"/>
      <c r="AH2" s="21"/>
      <c r="AI2" s="21"/>
      <c r="AJ2" s="21"/>
      <c r="AK2" s="21"/>
    </row>
    <row r="3" spans="1:37" ht="15.5" x14ac:dyDescent="0.35">
      <c r="A3" s="25" t="s">
        <v>309</v>
      </c>
      <c r="B3" s="62"/>
      <c r="C3" s="62"/>
      <c r="D3" s="62"/>
      <c r="E3" s="62"/>
      <c r="F3" s="62"/>
      <c r="G3" s="62"/>
      <c r="H3" s="28"/>
      <c r="I3" s="28"/>
      <c r="J3" s="28"/>
      <c r="K3" s="69"/>
      <c r="L3" s="69"/>
      <c r="M3" s="69"/>
      <c r="N3" s="69"/>
      <c r="O3" s="26"/>
      <c r="P3" s="26"/>
      <c r="Q3" s="26"/>
      <c r="R3" s="86"/>
      <c r="S3" s="86"/>
      <c r="T3" s="86"/>
      <c r="U3" s="86"/>
      <c r="V3" s="86"/>
      <c r="W3" s="13"/>
      <c r="X3" s="13"/>
      <c r="Y3" s="13"/>
      <c r="Z3" s="13"/>
      <c r="AA3" s="13"/>
      <c r="AB3" s="13"/>
      <c r="AC3" s="13"/>
      <c r="AD3" s="13"/>
      <c r="AE3" s="13"/>
      <c r="AF3" s="13"/>
      <c r="AG3" s="21"/>
      <c r="AH3" s="21"/>
      <c r="AI3" s="21"/>
      <c r="AJ3" s="21"/>
      <c r="AK3" s="21"/>
    </row>
    <row r="4" spans="1:37" ht="62" x14ac:dyDescent="0.35">
      <c r="A4" s="37" t="s">
        <v>14</v>
      </c>
      <c r="B4" s="31" t="s">
        <v>730</v>
      </c>
      <c r="C4" s="31" t="s">
        <v>732</v>
      </c>
      <c r="D4" s="31" t="s">
        <v>733</v>
      </c>
      <c r="E4" s="31" t="s">
        <v>734</v>
      </c>
      <c r="F4" s="31" t="s">
        <v>735</v>
      </c>
      <c r="G4" s="31" t="s">
        <v>736</v>
      </c>
      <c r="H4" s="67"/>
      <c r="I4" s="26"/>
      <c r="J4" s="26"/>
      <c r="K4" s="26"/>
      <c r="L4" s="26"/>
      <c r="M4" s="26"/>
      <c r="N4" s="26"/>
      <c r="O4" s="86"/>
      <c r="P4" s="86"/>
      <c r="Q4" s="86"/>
      <c r="R4" s="86"/>
      <c r="S4" s="86"/>
      <c r="T4" s="86"/>
      <c r="U4" s="86"/>
      <c r="V4" s="86"/>
      <c r="W4" s="13"/>
      <c r="X4" s="13"/>
      <c r="Y4" s="13"/>
      <c r="Z4" s="13"/>
      <c r="AA4" s="13"/>
      <c r="AB4" s="13"/>
      <c r="AC4" s="13"/>
      <c r="AD4" s="21"/>
      <c r="AE4" s="21"/>
    </row>
    <row r="5" spans="1:37" ht="15.5" x14ac:dyDescent="0.35">
      <c r="A5" s="33" t="s">
        <v>7</v>
      </c>
      <c r="B5" s="166">
        <v>105</v>
      </c>
      <c r="C5" s="166">
        <v>85</v>
      </c>
      <c r="D5" s="166" t="s">
        <v>486</v>
      </c>
      <c r="E5" s="166">
        <v>80</v>
      </c>
      <c r="F5" s="167" t="s">
        <v>486</v>
      </c>
      <c r="G5" s="167" t="s">
        <v>486</v>
      </c>
      <c r="H5" s="26"/>
      <c r="I5" s="26"/>
      <c r="J5" s="26"/>
      <c r="K5" s="26"/>
      <c r="L5" s="26"/>
      <c r="M5" s="26"/>
      <c r="N5" s="26"/>
      <c r="O5" s="86"/>
      <c r="P5" s="86"/>
      <c r="Q5" s="86"/>
      <c r="R5" s="86"/>
      <c r="S5" s="86"/>
      <c r="T5" s="86"/>
      <c r="U5" s="86"/>
      <c r="V5" s="86"/>
      <c r="W5" s="13"/>
      <c r="X5" s="13"/>
      <c r="Y5" s="13"/>
      <c r="Z5" s="13"/>
      <c r="AA5" s="13"/>
      <c r="AB5" s="13"/>
      <c r="AC5" s="13"/>
      <c r="AD5" s="21"/>
      <c r="AE5" s="21"/>
    </row>
    <row r="6" spans="1:37" ht="15.5" x14ac:dyDescent="0.35">
      <c r="A6" s="192" t="s">
        <v>278</v>
      </c>
      <c r="B6" s="134" t="s">
        <v>486</v>
      </c>
      <c r="C6" s="134">
        <v>0</v>
      </c>
      <c r="D6" s="134">
        <v>0</v>
      </c>
      <c r="E6" s="134">
        <v>0</v>
      </c>
      <c r="F6" s="110">
        <v>0</v>
      </c>
      <c r="G6" s="110">
        <v>0</v>
      </c>
      <c r="H6" s="26"/>
      <c r="I6" s="26"/>
      <c r="J6" s="26"/>
      <c r="K6" s="26"/>
      <c r="L6" s="26"/>
      <c r="M6" s="26"/>
      <c r="N6" s="26"/>
      <c r="O6" s="86"/>
      <c r="P6" s="86"/>
      <c r="Q6" s="86"/>
      <c r="R6" s="86"/>
      <c r="S6" s="86"/>
      <c r="T6" s="86"/>
      <c r="U6" s="86"/>
      <c r="V6" s="86"/>
      <c r="W6" s="13"/>
      <c r="X6" s="13"/>
      <c r="Y6" s="13"/>
      <c r="Z6" s="13"/>
      <c r="AA6" s="13"/>
      <c r="AB6" s="13"/>
      <c r="AC6" s="13"/>
      <c r="AD6" s="21"/>
      <c r="AE6" s="21"/>
    </row>
    <row r="7" spans="1:37" ht="15.5" x14ac:dyDescent="0.35">
      <c r="A7" s="192" t="s">
        <v>279</v>
      </c>
      <c r="B7" s="134" t="s">
        <v>486</v>
      </c>
      <c r="C7" s="134">
        <v>0</v>
      </c>
      <c r="D7" s="134">
        <v>0</v>
      </c>
      <c r="E7" s="134">
        <v>0</v>
      </c>
      <c r="F7" s="110">
        <v>0</v>
      </c>
      <c r="G7" s="110">
        <v>0</v>
      </c>
      <c r="H7" s="26"/>
      <c r="I7" s="26"/>
      <c r="J7" s="26"/>
      <c r="K7" s="26"/>
      <c r="L7" s="26"/>
      <c r="M7" s="26"/>
      <c r="N7" s="26"/>
      <c r="O7" s="86"/>
      <c r="P7" s="86"/>
      <c r="Q7" s="86"/>
      <c r="R7" s="86"/>
      <c r="S7" s="86"/>
      <c r="T7" s="86"/>
      <c r="U7" s="86"/>
      <c r="V7" s="86"/>
      <c r="W7" s="13"/>
      <c r="X7" s="13"/>
      <c r="Y7" s="13"/>
      <c r="Z7" s="13"/>
      <c r="AA7" s="13"/>
      <c r="AB7" s="13"/>
      <c r="AC7" s="13"/>
      <c r="AD7" s="21"/>
      <c r="AE7" s="21"/>
    </row>
    <row r="8" spans="1:37" ht="15.5" x14ac:dyDescent="0.35">
      <c r="A8" s="192" t="s">
        <v>280</v>
      </c>
      <c r="B8" s="134" t="s">
        <v>486</v>
      </c>
      <c r="C8" s="134">
        <v>0</v>
      </c>
      <c r="D8" s="134">
        <v>0</v>
      </c>
      <c r="E8" s="134">
        <v>0</v>
      </c>
      <c r="F8" s="110">
        <v>0</v>
      </c>
      <c r="G8" s="110">
        <v>0</v>
      </c>
      <c r="H8" s="26"/>
      <c r="I8" s="26"/>
      <c r="J8" s="26"/>
      <c r="K8" s="26"/>
      <c r="L8" s="26"/>
      <c r="M8" s="26"/>
      <c r="N8" s="26"/>
      <c r="O8" s="86"/>
      <c r="P8" s="86"/>
      <c r="Q8" s="86"/>
      <c r="R8" s="86"/>
      <c r="S8" s="86"/>
      <c r="T8" s="86"/>
      <c r="U8" s="86"/>
      <c r="V8" s="86"/>
      <c r="W8" s="13"/>
      <c r="X8" s="13"/>
      <c r="Y8" s="13"/>
      <c r="Z8" s="13"/>
      <c r="AA8" s="13"/>
      <c r="AB8" s="13"/>
      <c r="AC8" s="13"/>
      <c r="AD8" s="21"/>
      <c r="AE8" s="21"/>
    </row>
    <row r="9" spans="1:37" ht="15.5" x14ac:dyDescent="0.35">
      <c r="A9" s="192" t="s">
        <v>283</v>
      </c>
      <c r="B9" s="134">
        <v>5</v>
      </c>
      <c r="C9" s="134">
        <v>0</v>
      </c>
      <c r="D9" s="134">
        <v>0</v>
      </c>
      <c r="E9" s="134">
        <v>0</v>
      </c>
      <c r="F9" s="110">
        <v>0</v>
      </c>
      <c r="G9" s="110">
        <v>0</v>
      </c>
      <c r="H9" s="26"/>
      <c r="I9" s="26"/>
      <c r="J9" s="26"/>
      <c r="K9" s="26"/>
      <c r="L9" s="26"/>
      <c r="M9" s="26"/>
      <c r="N9" s="26"/>
      <c r="O9" s="86"/>
      <c r="P9" s="86"/>
      <c r="Q9" s="86"/>
      <c r="R9" s="86"/>
      <c r="S9" s="86"/>
      <c r="T9" s="86"/>
      <c r="U9" s="86"/>
      <c r="V9" s="86"/>
      <c r="W9" s="13"/>
      <c r="X9" s="13"/>
      <c r="Y9" s="13"/>
      <c r="Z9" s="13"/>
      <c r="AA9" s="13"/>
      <c r="AB9" s="13"/>
      <c r="AC9" s="13"/>
      <c r="AD9" s="21"/>
      <c r="AE9" s="21"/>
    </row>
    <row r="10" spans="1:37" ht="15.5" x14ac:dyDescent="0.35">
      <c r="A10" s="192" t="s">
        <v>284</v>
      </c>
      <c r="B10" s="134">
        <v>10</v>
      </c>
      <c r="C10" s="134">
        <v>0</v>
      </c>
      <c r="D10" s="134">
        <v>0</v>
      </c>
      <c r="E10" s="134">
        <v>0</v>
      </c>
      <c r="F10" s="110">
        <v>0</v>
      </c>
      <c r="G10" s="110">
        <v>0</v>
      </c>
      <c r="H10" s="26"/>
      <c r="I10" s="26"/>
      <c r="J10" s="26"/>
      <c r="K10" s="26"/>
      <c r="L10" s="26"/>
      <c r="M10" s="26"/>
      <c r="N10" s="26"/>
      <c r="O10" s="86"/>
      <c r="P10" s="86"/>
      <c r="Q10" s="86"/>
      <c r="R10" s="86"/>
      <c r="S10" s="86"/>
      <c r="T10" s="86"/>
      <c r="U10" s="86"/>
      <c r="V10" s="86"/>
      <c r="W10" s="13"/>
      <c r="X10" s="13"/>
      <c r="Y10" s="13"/>
      <c r="Z10" s="13"/>
      <c r="AA10" s="13"/>
      <c r="AB10" s="13"/>
      <c r="AC10" s="13"/>
      <c r="AD10" s="21"/>
      <c r="AE10" s="21"/>
    </row>
    <row r="11" spans="1:37" ht="15.5" x14ac:dyDescent="0.35">
      <c r="A11" s="192" t="s">
        <v>285</v>
      </c>
      <c r="B11" s="134" t="s">
        <v>486</v>
      </c>
      <c r="C11" s="134">
        <v>5</v>
      </c>
      <c r="D11" s="134">
        <v>0</v>
      </c>
      <c r="E11" s="134">
        <v>5</v>
      </c>
      <c r="F11" s="110">
        <v>0</v>
      </c>
      <c r="G11" s="110">
        <v>1</v>
      </c>
      <c r="H11" s="26"/>
      <c r="I11" s="26"/>
      <c r="J11" s="26"/>
      <c r="K11" s="26"/>
      <c r="L11" s="26"/>
      <c r="M11" s="26"/>
      <c r="N11" s="26"/>
      <c r="O11" s="26"/>
      <c r="P11" s="26"/>
      <c r="Q11" s="26"/>
      <c r="R11" s="26"/>
      <c r="S11" s="26"/>
      <c r="T11" s="26"/>
      <c r="U11" s="26"/>
      <c r="V11" s="26"/>
      <c r="W11" s="21"/>
      <c r="X11" s="21"/>
      <c r="Y11" s="21"/>
      <c r="Z11" s="21"/>
      <c r="AA11" s="21"/>
      <c r="AB11" s="21"/>
      <c r="AC11" s="21"/>
      <c r="AD11" s="21"/>
      <c r="AE11" s="21"/>
    </row>
    <row r="12" spans="1:37" ht="15.5" x14ac:dyDescent="0.35">
      <c r="A12" s="192" t="s">
        <v>286</v>
      </c>
      <c r="B12" s="134">
        <v>10</v>
      </c>
      <c r="C12" s="134">
        <v>5</v>
      </c>
      <c r="D12" s="134">
        <v>0</v>
      </c>
      <c r="E12" s="134">
        <v>5</v>
      </c>
      <c r="F12" s="110">
        <v>0</v>
      </c>
      <c r="G12" s="110">
        <v>1</v>
      </c>
      <c r="H12" s="26"/>
      <c r="I12" s="26"/>
      <c r="J12" s="26"/>
      <c r="K12" s="26"/>
      <c r="L12" s="26"/>
      <c r="M12" s="26"/>
      <c r="N12" s="26"/>
      <c r="O12" s="26"/>
      <c r="P12" s="26"/>
      <c r="Q12" s="26"/>
      <c r="R12" s="26"/>
      <c r="S12" s="26"/>
      <c r="T12" s="26"/>
      <c r="U12" s="26"/>
      <c r="V12" s="26"/>
      <c r="W12" s="21"/>
      <c r="X12" s="21"/>
      <c r="Y12" s="21"/>
      <c r="Z12" s="21"/>
      <c r="AA12" s="21"/>
      <c r="AB12" s="21"/>
      <c r="AC12" s="21"/>
      <c r="AD12" s="21"/>
      <c r="AE12" s="21"/>
    </row>
    <row r="13" spans="1:37" ht="15.5" x14ac:dyDescent="0.35">
      <c r="A13" s="192" t="s">
        <v>287</v>
      </c>
      <c r="B13" s="134">
        <v>15</v>
      </c>
      <c r="C13" s="134" t="s">
        <v>486</v>
      </c>
      <c r="D13" s="134">
        <v>0</v>
      </c>
      <c r="E13" s="134" t="s">
        <v>486</v>
      </c>
      <c r="F13" s="110">
        <v>0</v>
      </c>
      <c r="G13" s="110">
        <v>1</v>
      </c>
      <c r="H13" s="26"/>
      <c r="I13" s="26"/>
      <c r="J13" s="26"/>
      <c r="K13" s="26"/>
      <c r="L13" s="26"/>
      <c r="M13" s="26"/>
      <c r="N13" s="26"/>
      <c r="O13" s="26"/>
      <c r="P13" s="26"/>
      <c r="Q13" s="26"/>
      <c r="R13" s="26"/>
      <c r="S13" s="26"/>
      <c r="T13" s="26"/>
      <c r="U13" s="26"/>
      <c r="V13" s="26"/>
      <c r="W13" s="21"/>
      <c r="X13" s="21"/>
      <c r="Y13" s="21"/>
      <c r="Z13" s="21"/>
      <c r="AA13" s="21"/>
      <c r="AB13" s="21"/>
      <c r="AC13" s="21"/>
      <c r="AD13" s="21"/>
      <c r="AE13" s="21"/>
    </row>
    <row r="14" spans="1:37" ht="15.5" x14ac:dyDescent="0.35">
      <c r="A14" s="192" t="s">
        <v>288</v>
      </c>
      <c r="B14" s="134">
        <v>15</v>
      </c>
      <c r="C14" s="134">
        <v>5</v>
      </c>
      <c r="D14" s="134">
        <v>0</v>
      </c>
      <c r="E14" s="134">
        <v>5</v>
      </c>
      <c r="F14" s="110">
        <v>0</v>
      </c>
      <c r="G14" s="110">
        <v>1</v>
      </c>
      <c r="H14" s="26"/>
      <c r="I14" s="26"/>
      <c r="J14" s="26"/>
      <c r="K14" s="26"/>
      <c r="L14" s="26"/>
      <c r="M14" s="26"/>
      <c r="N14" s="26"/>
      <c r="O14" s="26"/>
      <c r="P14" s="26"/>
      <c r="Q14" s="26"/>
      <c r="R14" s="26"/>
      <c r="S14" s="26"/>
      <c r="T14" s="26"/>
      <c r="U14" s="26"/>
      <c r="V14" s="26"/>
      <c r="W14" s="21"/>
      <c r="X14" s="21"/>
      <c r="Y14" s="21"/>
      <c r="Z14" s="21"/>
      <c r="AA14" s="21"/>
      <c r="AB14" s="21"/>
      <c r="AC14" s="21"/>
      <c r="AD14" s="21"/>
      <c r="AE14" s="21"/>
    </row>
    <row r="15" spans="1:37" ht="15.5" x14ac:dyDescent="0.35">
      <c r="A15" s="192" t="s">
        <v>289</v>
      </c>
      <c r="B15" s="134">
        <v>5</v>
      </c>
      <c r="C15" s="134">
        <v>5</v>
      </c>
      <c r="D15" s="134">
        <v>0</v>
      </c>
      <c r="E15" s="134">
        <v>5</v>
      </c>
      <c r="F15" s="110">
        <v>0</v>
      </c>
      <c r="G15" s="110">
        <v>1</v>
      </c>
      <c r="H15" s="26"/>
      <c r="I15" s="26"/>
      <c r="J15" s="26"/>
      <c r="K15" s="26"/>
      <c r="L15" s="26"/>
      <c r="M15" s="26"/>
      <c r="N15" s="26"/>
      <c r="O15" s="26"/>
      <c r="P15" s="26"/>
      <c r="Q15" s="26"/>
      <c r="R15" s="26"/>
      <c r="S15" s="26"/>
      <c r="T15" s="26"/>
      <c r="U15" s="26"/>
      <c r="V15" s="26"/>
      <c r="W15" s="21"/>
      <c r="X15" s="21"/>
      <c r="Y15" s="21"/>
      <c r="Z15" s="21"/>
      <c r="AA15" s="21"/>
      <c r="AB15" s="21"/>
      <c r="AC15" s="21"/>
      <c r="AD15" s="21"/>
      <c r="AE15" s="21"/>
    </row>
    <row r="16" spans="1:37" ht="15.5" x14ac:dyDescent="0.35">
      <c r="A16" s="192" t="s">
        <v>290</v>
      </c>
      <c r="B16" s="134">
        <v>5</v>
      </c>
      <c r="C16" s="134">
        <v>20</v>
      </c>
      <c r="D16" s="134">
        <v>0</v>
      </c>
      <c r="E16" s="134">
        <v>20</v>
      </c>
      <c r="F16" s="110">
        <v>0</v>
      </c>
      <c r="G16" s="110">
        <v>1</v>
      </c>
      <c r="H16" s="26"/>
      <c r="I16" s="26"/>
      <c r="J16" s="26"/>
      <c r="K16" s="26"/>
      <c r="L16" s="26"/>
      <c r="M16" s="26"/>
      <c r="N16" s="26"/>
      <c r="O16" s="26"/>
      <c r="P16" s="26"/>
      <c r="Q16" s="26"/>
      <c r="R16" s="26"/>
      <c r="S16" s="26"/>
      <c r="T16" s="26"/>
      <c r="U16" s="26"/>
      <c r="V16" s="26"/>
      <c r="W16" s="21"/>
      <c r="X16" s="21"/>
      <c r="Y16" s="21"/>
      <c r="Z16" s="21"/>
      <c r="AA16" s="21"/>
      <c r="AB16" s="21"/>
      <c r="AC16" s="21"/>
      <c r="AD16" s="21"/>
      <c r="AE16" s="21"/>
    </row>
    <row r="17" spans="1:31" ht="15.5" x14ac:dyDescent="0.35">
      <c r="A17" s="192" t="s">
        <v>291</v>
      </c>
      <c r="B17" s="134" t="s">
        <v>486</v>
      </c>
      <c r="C17" s="134">
        <v>5</v>
      </c>
      <c r="D17" s="134">
        <v>0</v>
      </c>
      <c r="E17" s="134">
        <v>5</v>
      </c>
      <c r="F17" s="110">
        <v>0</v>
      </c>
      <c r="G17" s="110">
        <v>1</v>
      </c>
      <c r="H17" s="26"/>
      <c r="I17" s="26"/>
      <c r="J17" s="26"/>
      <c r="K17" s="26"/>
      <c r="L17" s="26"/>
      <c r="M17" s="26"/>
      <c r="N17" s="26"/>
      <c r="O17" s="26"/>
      <c r="P17" s="26"/>
      <c r="Q17" s="26"/>
      <c r="R17" s="26"/>
      <c r="S17" s="26"/>
      <c r="T17" s="26"/>
      <c r="U17" s="26"/>
      <c r="V17" s="26"/>
      <c r="W17" s="21"/>
      <c r="X17" s="21"/>
      <c r="Y17" s="21"/>
      <c r="Z17" s="21"/>
      <c r="AA17" s="21"/>
      <c r="AB17" s="21"/>
      <c r="AC17" s="21"/>
      <c r="AD17" s="21"/>
      <c r="AE17" s="21"/>
    </row>
    <row r="18" spans="1:31" ht="15.5" x14ac:dyDescent="0.35">
      <c r="A18" s="192" t="s">
        <v>292</v>
      </c>
      <c r="B18" s="134">
        <v>5</v>
      </c>
      <c r="C18" s="134">
        <v>5</v>
      </c>
      <c r="D18" s="134">
        <v>0</v>
      </c>
      <c r="E18" s="134">
        <v>5</v>
      </c>
      <c r="F18" s="110">
        <v>0</v>
      </c>
      <c r="G18" s="110">
        <v>1</v>
      </c>
      <c r="H18" s="26"/>
      <c r="I18" s="26"/>
      <c r="J18" s="26"/>
      <c r="K18" s="26"/>
      <c r="L18" s="26"/>
      <c r="M18" s="26"/>
      <c r="N18" s="26"/>
      <c r="O18" s="26"/>
      <c r="P18" s="26"/>
      <c r="Q18" s="26"/>
      <c r="R18" s="26"/>
      <c r="S18" s="26"/>
      <c r="T18" s="26"/>
      <c r="U18" s="26"/>
      <c r="V18" s="26"/>
      <c r="W18" s="21"/>
      <c r="X18" s="21"/>
      <c r="Y18" s="21"/>
      <c r="Z18" s="21"/>
      <c r="AA18" s="21"/>
      <c r="AB18" s="21"/>
      <c r="AC18" s="21"/>
      <c r="AD18" s="21"/>
      <c r="AE18" s="21"/>
    </row>
    <row r="19" spans="1:31" ht="15.5" x14ac:dyDescent="0.35">
      <c r="A19" s="193" t="s">
        <v>293</v>
      </c>
      <c r="B19" s="134">
        <v>0</v>
      </c>
      <c r="C19" s="134" t="s">
        <v>486</v>
      </c>
      <c r="D19" s="134">
        <v>0</v>
      </c>
      <c r="E19" s="134" t="s">
        <v>486</v>
      </c>
      <c r="F19" s="110">
        <v>0</v>
      </c>
      <c r="G19" s="110">
        <v>1</v>
      </c>
      <c r="H19" s="26"/>
      <c r="I19" s="26"/>
      <c r="J19" s="26"/>
      <c r="K19" s="26"/>
      <c r="L19" s="26"/>
      <c r="M19" s="26"/>
      <c r="N19" s="26"/>
      <c r="O19" s="26"/>
      <c r="P19" s="26"/>
      <c r="Q19" s="26"/>
      <c r="R19" s="26"/>
      <c r="S19" s="26"/>
      <c r="T19" s="26"/>
      <c r="U19" s="26"/>
      <c r="V19" s="26"/>
      <c r="W19" s="21"/>
      <c r="X19" s="21"/>
      <c r="Y19" s="21"/>
      <c r="Z19" s="21"/>
      <c r="AA19" s="21"/>
      <c r="AB19" s="21"/>
      <c r="AC19" s="21"/>
      <c r="AD19" s="21"/>
      <c r="AE19" s="21"/>
    </row>
    <row r="20" spans="1:31" ht="15.5" x14ac:dyDescent="0.35">
      <c r="A20" s="193" t="s">
        <v>281</v>
      </c>
      <c r="B20" s="134">
        <v>0</v>
      </c>
      <c r="C20" s="134" t="s">
        <v>486</v>
      </c>
      <c r="D20" s="134">
        <v>0</v>
      </c>
      <c r="E20" s="134" t="s">
        <v>486</v>
      </c>
      <c r="F20" s="110">
        <v>0</v>
      </c>
      <c r="G20" s="110">
        <v>1</v>
      </c>
      <c r="H20" s="26"/>
      <c r="I20" s="26"/>
      <c r="J20" s="26"/>
      <c r="K20" s="26"/>
      <c r="L20" s="26"/>
      <c r="M20" s="26"/>
      <c r="N20" s="26"/>
      <c r="O20" s="26"/>
      <c r="P20" s="26"/>
      <c r="Q20" s="26"/>
      <c r="R20" s="26"/>
      <c r="S20" s="26"/>
      <c r="T20" s="26"/>
      <c r="U20" s="26"/>
      <c r="V20" s="26"/>
      <c r="W20" s="21"/>
      <c r="X20" s="21"/>
      <c r="Y20" s="21"/>
      <c r="Z20" s="21"/>
      <c r="AA20" s="21"/>
      <c r="AB20" s="21"/>
      <c r="AC20" s="21"/>
      <c r="AD20" s="21"/>
      <c r="AE20" s="21"/>
    </row>
    <row r="21" spans="1:31" ht="15.5" x14ac:dyDescent="0.35">
      <c r="A21" s="193" t="s">
        <v>294</v>
      </c>
      <c r="B21" s="134" t="s">
        <v>486</v>
      </c>
      <c r="C21" s="134">
        <v>5</v>
      </c>
      <c r="D21" s="134">
        <v>0</v>
      </c>
      <c r="E21" s="134">
        <v>5</v>
      </c>
      <c r="F21" s="110">
        <v>0</v>
      </c>
      <c r="G21" s="110">
        <v>1</v>
      </c>
      <c r="H21" s="26"/>
      <c r="I21" s="26"/>
      <c r="J21" s="26"/>
      <c r="K21" s="26"/>
      <c r="L21" s="26"/>
      <c r="M21" s="26"/>
      <c r="N21" s="26"/>
      <c r="O21" s="26"/>
      <c r="P21" s="26"/>
      <c r="Q21" s="26"/>
      <c r="R21" s="26"/>
      <c r="S21" s="26"/>
      <c r="T21" s="26"/>
      <c r="U21" s="26"/>
      <c r="V21" s="26"/>
      <c r="W21" s="21"/>
      <c r="X21" s="21"/>
      <c r="Y21" s="21"/>
      <c r="Z21" s="21"/>
      <c r="AA21" s="21"/>
      <c r="AB21" s="21"/>
      <c r="AC21" s="21"/>
      <c r="AD21" s="21"/>
      <c r="AE21" s="21"/>
    </row>
    <row r="22" spans="1:31" ht="15.5" x14ac:dyDescent="0.35">
      <c r="A22" s="193" t="s">
        <v>295</v>
      </c>
      <c r="B22" s="134" t="s">
        <v>486</v>
      </c>
      <c r="C22" s="134">
        <v>0</v>
      </c>
      <c r="D22" s="134">
        <v>0</v>
      </c>
      <c r="E22" s="134">
        <v>0</v>
      </c>
      <c r="F22" s="110">
        <v>0</v>
      </c>
      <c r="G22" s="110">
        <v>0</v>
      </c>
      <c r="H22" s="26"/>
      <c r="I22" s="26"/>
      <c r="J22" s="26"/>
      <c r="K22" s="26"/>
      <c r="L22" s="26"/>
      <c r="M22" s="26"/>
      <c r="N22" s="26"/>
      <c r="O22" s="26"/>
      <c r="P22" s="26"/>
      <c r="Q22" s="26"/>
      <c r="R22" s="26"/>
      <c r="S22" s="26"/>
      <c r="T22" s="26"/>
      <c r="U22" s="26"/>
      <c r="V22" s="26"/>
      <c r="W22" s="21"/>
      <c r="X22" s="21"/>
      <c r="Y22" s="21"/>
      <c r="Z22" s="21"/>
      <c r="AA22" s="21"/>
      <c r="AB22" s="21"/>
      <c r="AC22" s="21"/>
      <c r="AD22" s="21"/>
      <c r="AE22" s="21"/>
    </row>
    <row r="23" spans="1:31" ht="15.5" x14ac:dyDescent="0.35">
      <c r="A23" s="193" t="s">
        <v>296</v>
      </c>
      <c r="B23" s="134">
        <v>5</v>
      </c>
      <c r="C23" s="134">
        <v>0</v>
      </c>
      <c r="D23" s="134">
        <v>0</v>
      </c>
      <c r="E23" s="134">
        <v>0</v>
      </c>
      <c r="F23" s="110">
        <v>0</v>
      </c>
      <c r="G23" s="110">
        <v>0</v>
      </c>
      <c r="H23" s="26"/>
      <c r="I23" s="26"/>
      <c r="J23" s="26"/>
      <c r="K23" s="26"/>
      <c r="L23" s="26"/>
      <c r="M23" s="26"/>
      <c r="N23" s="26"/>
      <c r="O23" s="26"/>
      <c r="P23" s="26"/>
      <c r="Q23" s="26"/>
      <c r="R23" s="26"/>
      <c r="S23" s="26"/>
      <c r="T23" s="26"/>
      <c r="U23" s="26"/>
      <c r="V23" s="26"/>
      <c r="W23" s="21"/>
      <c r="X23" s="21"/>
      <c r="Y23" s="21"/>
      <c r="Z23" s="21"/>
      <c r="AA23" s="21"/>
      <c r="AB23" s="21"/>
      <c r="AC23" s="21"/>
      <c r="AD23" s="21"/>
      <c r="AE23" s="21"/>
    </row>
    <row r="24" spans="1:31" ht="15.5" x14ac:dyDescent="0.35">
      <c r="A24" s="193" t="s">
        <v>297</v>
      </c>
      <c r="B24" s="134">
        <v>5</v>
      </c>
      <c r="C24" s="134" t="s">
        <v>486</v>
      </c>
      <c r="D24" s="134" t="s">
        <v>486</v>
      </c>
      <c r="E24" s="134" t="s">
        <v>486</v>
      </c>
      <c r="F24" s="110" t="s">
        <v>486</v>
      </c>
      <c r="G24" s="110" t="s">
        <v>486</v>
      </c>
      <c r="H24" s="26"/>
      <c r="I24" s="26"/>
      <c r="J24" s="26"/>
      <c r="K24" s="26"/>
      <c r="L24" s="26"/>
      <c r="M24" s="26"/>
      <c r="N24" s="26"/>
      <c r="O24" s="26"/>
      <c r="P24" s="26"/>
      <c r="Q24" s="26"/>
      <c r="R24" s="26"/>
      <c r="S24" s="26"/>
      <c r="T24" s="26"/>
      <c r="U24" s="26"/>
      <c r="V24" s="26"/>
      <c r="W24" s="21"/>
      <c r="X24" s="21"/>
      <c r="Y24" s="21"/>
      <c r="Z24" s="21"/>
      <c r="AA24" s="21"/>
      <c r="AB24" s="21"/>
      <c r="AC24" s="21"/>
      <c r="AD24" s="21"/>
      <c r="AE24" s="21"/>
    </row>
    <row r="25" spans="1:31" ht="15.5" x14ac:dyDescent="0.35">
      <c r="A25" s="193" t="s">
        <v>298</v>
      </c>
      <c r="B25" s="134">
        <v>5</v>
      </c>
      <c r="C25" s="134" t="s">
        <v>486</v>
      </c>
      <c r="D25" s="134" t="s">
        <v>486</v>
      </c>
      <c r="E25" s="134" t="s">
        <v>486</v>
      </c>
      <c r="F25" s="110" t="s">
        <v>486</v>
      </c>
      <c r="G25" s="110" t="s">
        <v>486</v>
      </c>
      <c r="H25" s="26"/>
      <c r="I25" s="26"/>
      <c r="J25" s="26"/>
      <c r="K25" s="26"/>
      <c r="L25" s="26"/>
      <c r="M25" s="26"/>
      <c r="N25" s="26"/>
      <c r="O25" s="26"/>
      <c r="P25" s="26"/>
      <c r="Q25" s="26"/>
      <c r="R25" s="26"/>
      <c r="S25" s="26"/>
      <c r="T25" s="26"/>
      <c r="U25" s="26"/>
      <c r="V25" s="26"/>
      <c r="W25" s="21"/>
      <c r="X25" s="21"/>
      <c r="Y25" s="21"/>
      <c r="Z25" s="21"/>
      <c r="AA25" s="21"/>
      <c r="AB25" s="21"/>
      <c r="AC25" s="21"/>
      <c r="AD25" s="21"/>
      <c r="AE25" s="21"/>
    </row>
    <row r="26" spans="1:31" ht="15.5" x14ac:dyDescent="0.35">
      <c r="A26" s="193" t="s">
        <v>299</v>
      </c>
      <c r="B26" s="134">
        <v>5</v>
      </c>
      <c r="C26" s="134">
        <v>0</v>
      </c>
      <c r="D26" s="134">
        <v>0</v>
      </c>
      <c r="E26" s="134">
        <v>0</v>
      </c>
      <c r="F26" s="110">
        <v>0</v>
      </c>
      <c r="G26" s="110">
        <v>0</v>
      </c>
      <c r="H26" s="26"/>
      <c r="I26" s="26"/>
      <c r="J26" s="26"/>
      <c r="K26" s="26"/>
      <c r="L26" s="26"/>
      <c r="M26" s="26"/>
      <c r="N26" s="26"/>
      <c r="O26" s="26"/>
      <c r="P26" s="26"/>
      <c r="Q26" s="26"/>
      <c r="R26" s="26"/>
      <c r="S26" s="26"/>
      <c r="T26" s="26"/>
      <c r="U26" s="26"/>
      <c r="V26" s="26"/>
      <c r="W26" s="21"/>
      <c r="X26" s="21"/>
      <c r="Y26" s="21"/>
      <c r="Z26" s="21"/>
      <c r="AA26" s="21"/>
      <c r="AB26" s="21"/>
      <c r="AC26" s="21"/>
      <c r="AD26" s="21"/>
      <c r="AE26" s="21"/>
    </row>
    <row r="27" spans="1:31" ht="15.5" x14ac:dyDescent="0.35">
      <c r="A27" s="193" t="s">
        <v>300</v>
      </c>
      <c r="B27" s="134">
        <v>5</v>
      </c>
      <c r="C27" s="110" t="s">
        <v>486</v>
      </c>
      <c r="D27" s="134">
        <v>0</v>
      </c>
      <c r="E27" s="110" t="s">
        <v>486</v>
      </c>
      <c r="F27" s="110">
        <v>0</v>
      </c>
      <c r="G27" s="110">
        <v>1</v>
      </c>
      <c r="H27" s="26"/>
      <c r="I27" s="26"/>
      <c r="J27" s="26"/>
      <c r="K27" s="26"/>
      <c r="L27" s="26"/>
      <c r="M27" s="26"/>
      <c r="N27" s="26"/>
      <c r="O27" s="26"/>
      <c r="P27" s="26"/>
      <c r="Q27" s="26"/>
      <c r="R27" s="26"/>
      <c r="S27" s="26"/>
      <c r="T27" s="26"/>
      <c r="U27" s="26"/>
      <c r="V27" s="26"/>
      <c r="W27" s="21"/>
      <c r="X27" s="21"/>
      <c r="Y27" s="21"/>
      <c r="Z27" s="21"/>
      <c r="AA27" s="21"/>
      <c r="AB27" s="21"/>
      <c r="AC27" s="21"/>
      <c r="AD27" s="21"/>
      <c r="AE27" s="21"/>
    </row>
    <row r="28" spans="1:31" ht="15.5" x14ac:dyDescent="0.35">
      <c r="A28" s="193" t="s">
        <v>301</v>
      </c>
      <c r="B28" s="134">
        <v>5</v>
      </c>
      <c r="C28" s="134">
        <v>5</v>
      </c>
      <c r="D28" s="134">
        <v>0</v>
      </c>
      <c r="E28" s="134">
        <v>5</v>
      </c>
      <c r="F28" s="110">
        <v>0</v>
      </c>
      <c r="G28" s="110">
        <v>1</v>
      </c>
      <c r="H28" s="26"/>
      <c r="I28" s="26"/>
      <c r="J28" s="26"/>
      <c r="K28" s="26"/>
      <c r="L28" s="26"/>
      <c r="M28" s="26"/>
      <c r="N28" s="26"/>
      <c r="O28" s="26"/>
      <c r="P28" s="26"/>
      <c r="Q28" s="26"/>
      <c r="R28" s="26"/>
      <c r="S28" s="26"/>
      <c r="T28" s="26"/>
      <c r="U28" s="26"/>
      <c r="V28" s="26"/>
      <c r="W28" s="21"/>
      <c r="X28" s="21"/>
      <c r="Y28" s="21"/>
      <c r="Z28" s="21"/>
      <c r="AA28" s="21"/>
      <c r="AB28" s="21"/>
      <c r="AC28" s="21"/>
      <c r="AD28" s="21"/>
      <c r="AE28" s="21"/>
    </row>
    <row r="29" spans="1:31" ht="15.5" x14ac:dyDescent="0.35">
      <c r="A29" s="193" t="s">
        <v>302</v>
      </c>
      <c r="B29" s="134">
        <v>5</v>
      </c>
      <c r="C29" s="134" t="s">
        <v>486</v>
      </c>
      <c r="D29" s="134" t="s">
        <v>486</v>
      </c>
      <c r="E29" s="134" t="s">
        <v>486</v>
      </c>
      <c r="F29" s="110" t="s">
        <v>486</v>
      </c>
      <c r="G29" s="110" t="s">
        <v>486</v>
      </c>
      <c r="H29" s="26"/>
      <c r="I29" s="26"/>
      <c r="J29" s="26"/>
      <c r="K29" s="26"/>
      <c r="L29" s="26"/>
      <c r="M29" s="26"/>
      <c r="N29" s="26"/>
      <c r="O29" s="26"/>
      <c r="P29" s="26"/>
      <c r="Q29" s="26"/>
      <c r="R29" s="26"/>
      <c r="S29" s="26"/>
      <c r="T29" s="26"/>
      <c r="U29" s="26"/>
      <c r="V29" s="26"/>
      <c r="W29" s="21"/>
      <c r="X29" s="21"/>
      <c r="Y29" s="21"/>
      <c r="Z29" s="21"/>
      <c r="AA29" s="21"/>
      <c r="AB29" s="21"/>
      <c r="AC29" s="21"/>
      <c r="AD29" s="21"/>
      <c r="AE29" s="21"/>
    </row>
    <row r="30" spans="1:31" ht="15.5" x14ac:dyDescent="0.35">
      <c r="A30" s="193" t="s">
        <v>303</v>
      </c>
      <c r="B30" s="134" t="s">
        <v>486</v>
      </c>
      <c r="C30" s="134">
        <v>5</v>
      </c>
      <c r="D30" s="134">
        <v>0</v>
      </c>
      <c r="E30" s="134">
        <v>5</v>
      </c>
      <c r="F30" s="110">
        <v>0</v>
      </c>
      <c r="G30" s="110">
        <v>1</v>
      </c>
      <c r="H30" s="26"/>
      <c r="I30" s="26"/>
      <c r="J30" s="26"/>
      <c r="K30" s="26"/>
      <c r="L30" s="26"/>
      <c r="M30" s="26"/>
      <c r="N30" s="26"/>
      <c r="O30" s="26"/>
      <c r="P30" s="26"/>
      <c r="Q30" s="26"/>
      <c r="R30" s="26"/>
      <c r="S30" s="26"/>
      <c r="T30" s="26"/>
      <c r="U30" s="26"/>
      <c r="V30" s="26"/>
      <c r="W30" s="21"/>
      <c r="X30" s="21"/>
      <c r="Y30" s="21"/>
      <c r="Z30" s="21"/>
      <c r="AA30" s="21"/>
      <c r="AB30" s="21"/>
      <c r="AC30" s="21"/>
      <c r="AD30" s="21"/>
      <c r="AE30" s="21"/>
    </row>
    <row r="31" spans="1:31" ht="15.5" x14ac:dyDescent="0.35">
      <c r="A31" s="193" t="s">
        <v>304</v>
      </c>
      <c r="B31" s="134">
        <v>0</v>
      </c>
      <c r="C31" s="134" t="s">
        <v>486</v>
      </c>
      <c r="D31" s="134">
        <v>0</v>
      </c>
      <c r="E31" s="134" t="s">
        <v>486</v>
      </c>
      <c r="F31" s="110">
        <v>0</v>
      </c>
      <c r="G31" s="110">
        <v>1</v>
      </c>
      <c r="H31" s="26"/>
      <c r="I31" s="26"/>
      <c r="J31" s="26"/>
      <c r="K31" s="26"/>
      <c r="L31" s="26"/>
      <c r="M31" s="26"/>
      <c r="N31" s="26"/>
      <c r="O31" s="26"/>
      <c r="P31" s="26"/>
      <c r="Q31" s="26"/>
      <c r="R31" s="26"/>
      <c r="S31" s="26"/>
      <c r="T31" s="26"/>
      <c r="U31" s="26"/>
      <c r="V31" s="26"/>
      <c r="W31" s="21"/>
      <c r="X31" s="21"/>
      <c r="Y31" s="21"/>
      <c r="Z31" s="21"/>
      <c r="AA31" s="21"/>
      <c r="AB31" s="21"/>
      <c r="AC31" s="21"/>
      <c r="AD31" s="21"/>
      <c r="AE31" s="21"/>
    </row>
    <row r="32" spans="1:31" ht="15.5" x14ac:dyDescent="0.35">
      <c r="A32" s="193" t="s">
        <v>282</v>
      </c>
      <c r="B32" s="134">
        <v>5</v>
      </c>
      <c r="C32" s="134">
        <v>5</v>
      </c>
      <c r="D32" s="134">
        <v>0</v>
      </c>
      <c r="E32" s="134">
        <v>5</v>
      </c>
      <c r="F32" s="110">
        <v>0</v>
      </c>
      <c r="G32" s="110">
        <v>1</v>
      </c>
      <c r="H32" s="26"/>
      <c r="I32" s="26"/>
      <c r="J32" s="26"/>
      <c r="K32" s="26"/>
      <c r="L32" s="26"/>
      <c r="M32" s="26"/>
      <c r="N32" s="26"/>
      <c r="O32" s="26"/>
      <c r="P32" s="26"/>
      <c r="Q32" s="26"/>
      <c r="R32" s="26"/>
      <c r="S32" s="26"/>
      <c r="T32" s="26"/>
      <c r="U32" s="26"/>
      <c r="V32" s="26"/>
      <c r="W32" s="21"/>
      <c r="X32" s="21"/>
      <c r="Y32" s="21"/>
      <c r="Z32" s="21"/>
      <c r="AA32" s="21"/>
      <c r="AB32" s="21"/>
      <c r="AC32" s="21"/>
      <c r="AD32" s="21"/>
      <c r="AE32" s="21"/>
    </row>
    <row r="33" spans="1:37" ht="15.5" x14ac:dyDescent="0.35">
      <c r="A33" s="193" t="s">
        <v>305</v>
      </c>
      <c r="B33" s="134">
        <v>5</v>
      </c>
      <c r="C33" s="134" t="s">
        <v>486</v>
      </c>
      <c r="D33" s="134">
        <v>0</v>
      </c>
      <c r="E33" s="134" t="s">
        <v>486</v>
      </c>
      <c r="F33" s="110">
        <v>0</v>
      </c>
      <c r="G33" s="110">
        <v>1</v>
      </c>
      <c r="H33" s="26"/>
      <c r="I33" s="26"/>
      <c r="J33" s="26"/>
      <c r="K33" s="26"/>
      <c r="L33" s="26"/>
      <c r="M33" s="26"/>
      <c r="N33" s="26"/>
      <c r="O33" s="26"/>
      <c r="P33" s="26"/>
      <c r="Q33" s="26"/>
      <c r="R33" s="26"/>
      <c r="S33" s="26"/>
      <c r="T33" s="26"/>
      <c r="U33" s="26"/>
      <c r="V33" s="26"/>
      <c r="W33" s="21"/>
      <c r="X33" s="21"/>
      <c r="Y33" s="21"/>
      <c r="Z33" s="21"/>
      <c r="AA33" s="21"/>
      <c r="AB33" s="21"/>
      <c r="AC33" s="21"/>
      <c r="AD33" s="21"/>
      <c r="AE33" s="21"/>
    </row>
    <row r="34" spans="1:37" ht="15.5" x14ac:dyDescent="0.35">
      <c r="A34" s="193" t="s">
        <v>306</v>
      </c>
      <c r="B34" s="134" t="s">
        <v>486</v>
      </c>
      <c r="C34" s="134" t="s">
        <v>486</v>
      </c>
      <c r="D34" s="134">
        <v>0</v>
      </c>
      <c r="E34" s="134" t="s">
        <v>486</v>
      </c>
      <c r="F34" s="110">
        <v>0</v>
      </c>
      <c r="G34" s="110">
        <v>1</v>
      </c>
      <c r="H34" s="26"/>
      <c r="I34" s="26"/>
      <c r="J34" s="26"/>
      <c r="K34" s="26"/>
      <c r="L34" s="26"/>
      <c r="M34" s="26"/>
      <c r="N34" s="26"/>
      <c r="O34" s="26"/>
      <c r="P34" s="26"/>
      <c r="Q34" s="26"/>
      <c r="R34" s="26"/>
      <c r="S34" s="26"/>
      <c r="T34" s="26"/>
      <c r="U34" s="26"/>
      <c r="V34" s="26"/>
      <c r="W34" s="21"/>
      <c r="X34" s="21"/>
      <c r="Y34" s="21"/>
      <c r="Z34" s="21"/>
      <c r="AA34" s="21"/>
      <c r="AB34" s="21"/>
      <c r="AC34" s="21"/>
      <c r="AD34" s="21"/>
      <c r="AE34" s="21"/>
    </row>
    <row r="35" spans="1:37" ht="15.5" x14ac:dyDescent="0.35">
      <c r="A35" s="192" t="s">
        <v>307</v>
      </c>
      <c r="B35" s="134" t="s">
        <v>486</v>
      </c>
      <c r="C35" s="134" t="s">
        <v>486</v>
      </c>
      <c r="D35" s="134">
        <v>0</v>
      </c>
      <c r="E35" s="134" t="s">
        <v>486</v>
      </c>
      <c r="F35" s="110">
        <v>0</v>
      </c>
      <c r="G35" s="110">
        <v>1</v>
      </c>
      <c r="H35" s="26"/>
      <c r="I35" s="26"/>
      <c r="J35" s="26"/>
      <c r="K35" s="26"/>
      <c r="L35" s="26"/>
      <c r="M35" s="26"/>
      <c r="N35" s="26"/>
      <c r="O35" s="26"/>
      <c r="P35" s="26"/>
      <c r="Q35" s="26"/>
      <c r="R35" s="26"/>
      <c r="S35" s="26"/>
      <c r="T35" s="26"/>
      <c r="U35" s="26"/>
      <c r="V35" s="26"/>
      <c r="W35" s="21"/>
      <c r="X35" s="21"/>
      <c r="Y35" s="21"/>
      <c r="Z35" s="21"/>
      <c r="AA35" s="21"/>
      <c r="AB35" s="21"/>
      <c r="AC35" s="21"/>
      <c r="AD35" s="21"/>
      <c r="AE35" s="21"/>
    </row>
    <row r="36" spans="1:37" ht="15.5" x14ac:dyDescent="0.35">
      <c r="A36" s="63" t="s">
        <v>9</v>
      </c>
      <c r="B36" s="82"/>
      <c r="C36" s="82"/>
      <c r="D36" s="82"/>
      <c r="E36" s="82"/>
      <c r="F36" s="82"/>
      <c r="G36" s="82"/>
      <c r="H36" s="82"/>
      <c r="I36" s="82"/>
      <c r="J36" s="82"/>
      <c r="K36" s="82"/>
      <c r="L36" s="82"/>
      <c r="M36" s="82"/>
      <c r="N36" s="26"/>
      <c r="O36" s="26"/>
      <c r="P36" s="26"/>
      <c r="Q36" s="26"/>
      <c r="R36" s="26"/>
      <c r="S36" s="26"/>
      <c r="T36" s="26"/>
      <c r="U36" s="26"/>
      <c r="V36" s="26"/>
      <c r="W36" s="21"/>
      <c r="X36" s="21"/>
      <c r="Y36" s="21"/>
      <c r="Z36" s="21"/>
      <c r="AA36" s="21"/>
      <c r="AB36" s="21"/>
      <c r="AC36" s="21"/>
      <c r="AD36" s="21"/>
      <c r="AE36" s="21"/>
      <c r="AF36" s="21"/>
      <c r="AG36" s="21"/>
      <c r="AH36" s="21"/>
      <c r="AI36" s="21"/>
      <c r="AJ36" s="21"/>
      <c r="AK36" s="21"/>
    </row>
    <row r="37" spans="1:37" ht="15.5" x14ac:dyDescent="0.35">
      <c r="A37" s="63" t="s">
        <v>79</v>
      </c>
      <c r="B37" s="26"/>
      <c r="C37" s="26"/>
      <c r="D37" s="26"/>
      <c r="E37" s="26"/>
      <c r="F37" s="26"/>
      <c r="G37" s="26"/>
      <c r="H37" s="26"/>
      <c r="I37" s="26"/>
      <c r="J37" s="26"/>
      <c r="K37" s="78"/>
      <c r="L37" s="26"/>
      <c r="M37" s="26"/>
      <c r="N37" s="26"/>
      <c r="O37" s="26"/>
      <c r="P37" s="26"/>
      <c r="Q37" s="26"/>
      <c r="R37" s="26"/>
      <c r="S37" s="26"/>
      <c r="T37" s="26"/>
      <c r="U37" s="26"/>
      <c r="V37" s="26"/>
      <c r="W37" s="21"/>
      <c r="X37" s="21"/>
      <c r="Y37" s="21"/>
      <c r="Z37" s="21"/>
      <c r="AA37" s="21"/>
      <c r="AB37" s="21"/>
      <c r="AC37" s="21"/>
      <c r="AD37" s="21"/>
      <c r="AE37" s="21"/>
      <c r="AF37" s="21"/>
      <c r="AG37" s="21"/>
      <c r="AH37" s="21"/>
      <c r="AI37" s="21"/>
      <c r="AJ37" s="21"/>
      <c r="AK37" s="21"/>
    </row>
    <row r="38" spans="1:37" ht="15.5" x14ac:dyDescent="0.35">
      <c r="A38" s="26" t="s">
        <v>731</v>
      </c>
      <c r="B38" s="26"/>
      <c r="C38" s="26"/>
      <c r="D38" s="26"/>
      <c r="E38" s="26"/>
      <c r="F38" s="26"/>
      <c r="G38" s="26"/>
      <c r="H38" s="26"/>
      <c r="I38" s="26"/>
      <c r="J38" s="26"/>
      <c r="K38" s="26"/>
      <c r="L38" s="26"/>
      <c r="M38" s="26"/>
      <c r="N38" s="26"/>
      <c r="O38" s="26"/>
      <c r="P38" s="26"/>
      <c r="Q38" s="26"/>
      <c r="R38" s="26"/>
      <c r="S38" s="26"/>
      <c r="T38" s="26"/>
      <c r="U38" s="26"/>
      <c r="V38" s="26"/>
      <c r="W38" s="21"/>
      <c r="X38" s="21"/>
      <c r="Y38" s="21"/>
      <c r="Z38" s="21"/>
      <c r="AA38" s="21"/>
      <c r="AB38" s="21"/>
      <c r="AC38" s="21"/>
      <c r="AD38" s="21"/>
      <c r="AE38" s="21"/>
      <c r="AF38" s="21"/>
      <c r="AG38" s="21"/>
      <c r="AH38" s="21"/>
      <c r="AI38" s="21"/>
      <c r="AJ38" s="21"/>
      <c r="AK38" s="21"/>
    </row>
    <row r="39" spans="1:37" ht="15.5" x14ac:dyDescent="0.35">
      <c r="A39" s="26" t="s">
        <v>737</v>
      </c>
      <c r="B39" s="26"/>
      <c r="C39" s="26"/>
      <c r="D39" s="26"/>
      <c r="E39" s="26"/>
      <c r="F39" s="26"/>
      <c r="G39" s="26"/>
      <c r="H39" s="26"/>
      <c r="I39" s="26"/>
      <c r="J39" s="26"/>
      <c r="K39" s="26"/>
      <c r="L39" s="26"/>
      <c r="M39" s="26"/>
      <c r="N39" s="26"/>
      <c r="O39" s="26"/>
      <c r="P39" s="26"/>
      <c r="Q39" s="26"/>
      <c r="R39" s="26"/>
      <c r="S39" s="26"/>
      <c r="T39" s="26"/>
      <c r="U39" s="26"/>
      <c r="V39" s="26"/>
      <c r="W39" s="21"/>
      <c r="X39" s="21"/>
      <c r="Y39" s="21"/>
      <c r="Z39" s="21"/>
      <c r="AA39" s="21"/>
      <c r="AB39" s="21"/>
      <c r="AC39" s="21"/>
      <c r="AD39" s="21"/>
      <c r="AE39" s="21"/>
      <c r="AF39" s="21"/>
      <c r="AG39" s="21"/>
      <c r="AH39" s="21"/>
      <c r="AI39" s="21"/>
      <c r="AJ39" s="21"/>
      <c r="AK39" s="21"/>
    </row>
    <row r="40" spans="1:37" ht="15.5" x14ac:dyDescent="0.35">
      <c r="A40" s="26" t="s">
        <v>331</v>
      </c>
      <c r="B40" s="26"/>
      <c r="C40" s="26"/>
      <c r="D40" s="26"/>
      <c r="E40" s="26"/>
      <c r="F40" s="26"/>
      <c r="G40" s="26"/>
      <c r="H40" s="26"/>
      <c r="I40" s="26"/>
      <c r="J40" s="26"/>
      <c r="K40" s="26"/>
      <c r="L40" s="26"/>
      <c r="M40" s="26"/>
      <c r="N40" s="26"/>
      <c r="O40" s="26"/>
      <c r="P40" s="26"/>
      <c r="Q40" s="26"/>
      <c r="R40" s="26"/>
      <c r="S40" s="26"/>
      <c r="T40" s="26"/>
      <c r="U40" s="26"/>
      <c r="V40" s="26"/>
      <c r="W40" s="21"/>
      <c r="X40" s="21"/>
      <c r="Y40" s="21"/>
      <c r="Z40" s="21"/>
      <c r="AA40" s="21"/>
      <c r="AB40" s="21"/>
      <c r="AC40" s="21"/>
      <c r="AD40" s="21"/>
      <c r="AE40" s="21"/>
      <c r="AF40" s="21"/>
      <c r="AG40" s="21"/>
      <c r="AH40" s="21"/>
      <c r="AI40" s="21"/>
      <c r="AJ40" s="21"/>
      <c r="AK40" s="21"/>
    </row>
    <row r="41" spans="1:37" ht="15.5" x14ac:dyDescent="0.35">
      <c r="A41" s="26"/>
      <c r="B41" s="26"/>
      <c r="C41" s="26"/>
      <c r="D41" s="26"/>
      <c r="E41" s="26"/>
      <c r="F41" s="26"/>
      <c r="G41" s="26"/>
      <c r="H41" s="26"/>
      <c r="I41" s="26"/>
      <c r="J41" s="26"/>
      <c r="K41" s="26"/>
      <c r="L41" s="26"/>
      <c r="M41" s="26"/>
      <c r="N41" s="78"/>
      <c r="O41" s="26"/>
      <c r="P41" s="26"/>
      <c r="Q41" s="26"/>
      <c r="R41" s="26"/>
      <c r="S41" s="26"/>
      <c r="T41" s="26"/>
      <c r="U41" s="26"/>
      <c r="V41" s="26"/>
      <c r="W41" s="21"/>
      <c r="X41" s="21"/>
      <c r="Y41" s="21"/>
      <c r="Z41" s="21"/>
      <c r="AA41" s="21"/>
      <c r="AB41" s="21"/>
      <c r="AC41" s="21"/>
      <c r="AD41" s="21"/>
      <c r="AE41" s="21"/>
      <c r="AF41" s="21"/>
      <c r="AG41" s="21"/>
      <c r="AH41" s="21"/>
      <c r="AI41" s="21"/>
      <c r="AJ41" s="21"/>
      <c r="AK41" s="21"/>
    </row>
    <row r="42" spans="1:37" ht="15.5" x14ac:dyDescent="0.35">
      <c r="A42" s="26"/>
      <c r="B42" s="26"/>
      <c r="C42" s="26"/>
      <c r="D42" s="26"/>
      <c r="E42" s="26"/>
      <c r="F42" s="26"/>
      <c r="G42" s="26"/>
      <c r="H42" s="26"/>
      <c r="I42" s="26"/>
      <c r="J42" s="26"/>
      <c r="K42" s="26"/>
      <c r="L42" s="26"/>
      <c r="M42" s="26"/>
      <c r="N42" s="26"/>
      <c r="O42" s="26"/>
      <c r="P42" s="26"/>
      <c r="Q42" s="26"/>
      <c r="R42" s="26"/>
      <c r="S42" s="26"/>
      <c r="T42" s="26"/>
      <c r="U42" s="26"/>
      <c r="V42" s="26"/>
      <c r="W42" s="21"/>
      <c r="X42" s="21"/>
      <c r="Y42" s="21"/>
      <c r="Z42" s="21"/>
      <c r="AA42" s="21"/>
      <c r="AB42" s="21"/>
      <c r="AC42" s="21"/>
      <c r="AD42" s="21"/>
      <c r="AE42" s="21"/>
      <c r="AF42" s="21"/>
      <c r="AG42" s="21"/>
      <c r="AH42" s="21"/>
      <c r="AI42" s="21"/>
      <c r="AJ42" s="21"/>
      <c r="AK42" s="21"/>
    </row>
    <row r="43" spans="1:37" ht="15.5" x14ac:dyDescent="0.35">
      <c r="A43" s="26"/>
      <c r="B43" s="26"/>
      <c r="C43" s="26"/>
      <c r="D43" s="26"/>
      <c r="E43" s="26"/>
      <c r="F43" s="26"/>
      <c r="G43" s="26"/>
      <c r="H43" s="26"/>
      <c r="I43" s="26"/>
      <c r="J43" s="26"/>
      <c r="K43" s="26"/>
      <c r="L43" s="26"/>
      <c r="M43" s="26"/>
      <c r="N43" s="26"/>
      <c r="O43" s="26"/>
      <c r="P43" s="26"/>
      <c r="Q43" s="26"/>
      <c r="R43" s="26"/>
      <c r="S43" s="26"/>
      <c r="T43" s="26"/>
      <c r="U43" s="26"/>
      <c r="V43" s="26"/>
      <c r="W43" s="21"/>
      <c r="X43" s="21"/>
      <c r="Y43" s="21"/>
      <c r="Z43" s="21"/>
      <c r="AA43" s="21"/>
      <c r="AB43" s="21"/>
      <c r="AC43" s="21"/>
      <c r="AD43" s="21"/>
      <c r="AE43" s="21"/>
      <c r="AF43" s="21"/>
      <c r="AG43" s="21"/>
      <c r="AH43" s="21"/>
      <c r="AI43" s="21"/>
      <c r="AJ43" s="21"/>
      <c r="AK43" s="21"/>
    </row>
    <row r="44" spans="1:37" ht="15.5" x14ac:dyDescent="0.35">
      <c r="A44" s="26"/>
      <c r="B44" s="26"/>
      <c r="C44" s="26"/>
      <c r="D44" s="26"/>
      <c r="E44" s="26"/>
      <c r="F44" s="26"/>
      <c r="G44" s="26"/>
      <c r="H44" s="26"/>
      <c r="I44" s="26"/>
      <c r="J44" s="26"/>
      <c r="K44" s="26"/>
      <c r="L44" s="26"/>
      <c r="M44" s="26"/>
      <c r="N44" s="26"/>
      <c r="O44" s="26"/>
      <c r="P44" s="26"/>
      <c r="Q44" s="26"/>
      <c r="R44" s="26"/>
      <c r="S44" s="26"/>
      <c r="T44" s="26"/>
      <c r="U44" s="26"/>
      <c r="V44" s="26"/>
      <c r="W44" s="21"/>
      <c r="X44" s="21"/>
      <c r="Y44" s="21"/>
      <c r="Z44" s="21"/>
      <c r="AA44" s="21"/>
      <c r="AB44" s="21"/>
      <c r="AC44" s="21"/>
      <c r="AD44" s="21"/>
      <c r="AE44" s="21"/>
      <c r="AF44" s="21"/>
      <c r="AG44" s="21"/>
      <c r="AH44" s="21"/>
      <c r="AI44" s="21"/>
      <c r="AJ44" s="21"/>
      <c r="AK44" s="21"/>
    </row>
    <row r="45" spans="1:37" ht="15.5" x14ac:dyDescent="0.35">
      <c r="A45" s="26"/>
      <c r="B45" s="26"/>
      <c r="C45" s="26"/>
      <c r="D45" s="26"/>
      <c r="E45" s="26"/>
      <c r="F45" s="26"/>
      <c r="G45" s="26"/>
      <c r="H45" s="26"/>
      <c r="I45" s="26"/>
      <c r="J45" s="26"/>
      <c r="K45" s="26"/>
      <c r="L45" s="26"/>
      <c r="M45" s="26"/>
      <c r="N45" s="26"/>
      <c r="O45" s="26"/>
      <c r="P45" s="26"/>
      <c r="Q45" s="26"/>
      <c r="R45" s="26"/>
      <c r="S45" s="26"/>
      <c r="T45" s="26"/>
      <c r="U45" s="26"/>
      <c r="V45" s="26"/>
      <c r="W45" s="21"/>
      <c r="X45" s="21"/>
      <c r="Y45" s="21"/>
      <c r="Z45" s="21"/>
      <c r="AA45" s="21"/>
      <c r="AB45" s="21"/>
      <c r="AC45" s="21"/>
      <c r="AD45" s="21"/>
      <c r="AE45" s="21"/>
      <c r="AF45" s="21"/>
      <c r="AG45" s="21"/>
      <c r="AH45" s="21"/>
      <c r="AI45" s="21"/>
      <c r="AJ45" s="21"/>
      <c r="AK45" s="21"/>
    </row>
  </sheetData>
  <conditionalFormatting sqref="H36:N36 H4:H35">
    <cfRule type="dataBar" priority="12">
      <dataBar>
        <cfvo type="num" val="0"/>
        <cfvo type="num" val="1"/>
        <color theme="4" tint="-0.249977111117893"/>
      </dataBar>
      <extLst>
        <ext xmlns:x14="http://schemas.microsoft.com/office/spreadsheetml/2009/9/main" uri="{B025F937-C7B1-47D3-B67F-A62EFF666E3E}">
          <x14:id>{5B12946A-577C-40DF-8A1D-80EC0315B36F}</x14:id>
        </ext>
      </extLst>
    </cfRule>
  </conditionalFormatting>
  <conditionalFormatting sqref="F11:G35">
    <cfRule type="dataBar" priority="3">
      <dataBar>
        <cfvo type="num" val="0"/>
        <cfvo type="num" val="1"/>
        <color rgb="FFB4A9D4"/>
      </dataBar>
      <extLst>
        <ext xmlns:x14="http://schemas.microsoft.com/office/spreadsheetml/2009/9/main" uri="{B025F937-C7B1-47D3-B67F-A62EFF666E3E}">
          <x14:id>{277FB4DF-CE1E-4295-AB5A-707C0FC55DF7}</x14:id>
        </ext>
      </extLst>
    </cfRule>
  </conditionalFormatting>
  <conditionalFormatting sqref="C27">
    <cfRule type="dataBar" priority="1">
      <dataBar>
        <cfvo type="num" val="0"/>
        <cfvo type="num" val="1"/>
        <color rgb="FFB4A9D4"/>
      </dataBar>
      <extLst>
        <ext xmlns:x14="http://schemas.microsoft.com/office/spreadsheetml/2009/9/main" uri="{B025F937-C7B1-47D3-B67F-A62EFF666E3E}">
          <x14:id>{48188D5F-A427-41F5-9E02-CFCEFDDE17BB}</x14:id>
        </ext>
      </extLst>
    </cfRule>
  </conditionalFormatting>
  <conditionalFormatting sqref="F6:G10">
    <cfRule type="dataBar" priority="6">
      <dataBar>
        <cfvo type="num" val="0"/>
        <cfvo type="num" val="1"/>
        <color rgb="FFB4A9D4"/>
      </dataBar>
      <extLst>
        <ext xmlns:x14="http://schemas.microsoft.com/office/spreadsheetml/2009/9/main" uri="{B025F937-C7B1-47D3-B67F-A62EFF666E3E}">
          <x14:id>{A3F00D4B-F2EA-4416-80CF-39E018CE7CA5}</x14:id>
        </ext>
      </extLst>
    </cfRule>
  </conditionalFormatting>
  <conditionalFormatting sqref="E27">
    <cfRule type="dataBar" priority="2">
      <dataBar>
        <cfvo type="num" val="0"/>
        <cfvo type="num" val="1"/>
        <color rgb="FFB4A9D4"/>
      </dataBar>
      <extLst>
        <ext xmlns:x14="http://schemas.microsoft.com/office/spreadsheetml/2009/9/main" uri="{B025F937-C7B1-47D3-B67F-A62EFF666E3E}">
          <x14:id>{0E75BB66-791A-4D97-89DD-B8D94108EE52}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12946A-577C-40DF-8A1D-80EC0315B36F}">
            <x14:dataBar minLength="0" maxLength="100" border="1">
              <x14:cfvo type="num">
                <xm:f>0</xm:f>
              </x14:cfvo>
              <x14:cfvo type="num">
                <xm:f>1</xm:f>
              </x14:cfvo>
              <x14:borderColor theme="8" tint="0.39997558519241921"/>
              <x14:negativeFillColor rgb="FFFF0000"/>
              <x14:axisColor rgb="FF000000"/>
            </x14:dataBar>
          </x14:cfRule>
          <xm:sqref>H36:N36 H4:H35</xm:sqref>
        </x14:conditionalFormatting>
        <x14:conditionalFormatting xmlns:xm="http://schemas.microsoft.com/office/excel/2006/main">
          <x14:cfRule type="dataBar" id="{277FB4DF-CE1E-4295-AB5A-707C0FC55DF7}">
            <x14:dataBar minLength="0" maxLength="100" gradient="0">
              <x14:cfvo type="num">
                <xm:f>0</xm:f>
              </x14:cfvo>
              <x14:cfvo type="num">
                <xm:f>1</xm:f>
              </x14:cfvo>
              <x14:negativeFillColor rgb="FFFF0000"/>
              <x14:axisColor rgb="FF000000"/>
            </x14:dataBar>
          </x14:cfRule>
          <xm:sqref>F11:G35</xm:sqref>
        </x14:conditionalFormatting>
        <x14:conditionalFormatting xmlns:xm="http://schemas.microsoft.com/office/excel/2006/main">
          <x14:cfRule type="dataBar" id="{48188D5F-A427-41F5-9E02-CFCEFDDE17BB}">
            <x14:dataBar minLength="0" maxLength="100" gradient="0">
              <x14:cfvo type="num">
                <xm:f>0</xm:f>
              </x14:cfvo>
              <x14:cfvo type="num">
                <xm:f>1</xm:f>
              </x14:cfvo>
              <x14:negativeFillColor rgb="FFFF0000"/>
              <x14:axisColor rgb="FF000000"/>
            </x14:dataBar>
          </x14:cfRule>
          <xm:sqref>C27</xm:sqref>
        </x14:conditionalFormatting>
        <x14:conditionalFormatting xmlns:xm="http://schemas.microsoft.com/office/excel/2006/main">
          <x14:cfRule type="dataBar" id="{A3F00D4B-F2EA-4416-80CF-39E018CE7CA5}">
            <x14:dataBar minLength="0" maxLength="100" gradient="0">
              <x14:cfvo type="num">
                <xm:f>0</xm:f>
              </x14:cfvo>
              <x14:cfvo type="num">
                <xm:f>1</xm:f>
              </x14:cfvo>
              <x14:negativeFillColor rgb="FFFF0000"/>
              <x14:axisColor rgb="FF000000"/>
            </x14:dataBar>
          </x14:cfRule>
          <xm:sqref>F6:G10</xm:sqref>
        </x14:conditionalFormatting>
        <x14:conditionalFormatting xmlns:xm="http://schemas.microsoft.com/office/excel/2006/main">
          <x14:cfRule type="dataBar" id="{0E75BB66-791A-4D97-89DD-B8D94108EE52}">
            <x14:dataBar minLength="0" maxLength="100" gradient="0">
              <x14:cfvo type="num">
                <xm:f>0</xm:f>
              </x14:cfvo>
              <x14:cfvo type="num">
                <xm:f>1</xm:f>
              </x14:cfvo>
              <x14:negativeFillColor rgb="FFFF0000"/>
              <x14:axisColor rgb="FF000000"/>
            </x14:dataBar>
          </x14:cfRule>
          <xm:sqref>E27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45"/>
  <sheetViews>
    <sheetView zoomScale="75" zoomScaleNormal="75" workbookViewId="0"/>
  </sheetViews>
  <sheetFormatPr defaultRowHeight="14.5" x14ac:dyDescent="0.35"/>
  <cols>
    <col min="1" max="1" width="45.7265625" bestFit="1" customWidth="1"/>
    <col min="2" max="5" width="17.26953125" customWidth="1"/>
    <col min="6" max="6" width="19.1796875" customWidth="1"/>
    <col min="7" max="12" width="17.26953125" customWidth="1"/>
  </cols>
  <sheetData>
    <row r="1" spans="1:14" ht="21" x14ac:dyDescent="0.5">
      <c r="A1" s="165" t="s">
        <v>766</v>
      </c>
      <c r="B1" s="83"/>
      <c r="C1" s="83"/>
      <c r="D1" s="83"/>
      <c r="E1" s="83"/>
      <c r="F1" s="83"/>
      <c r="G1" s="83"/>
      <c r="H1" s="28"/>
      <c r="I1" s="28"/>
      <c r="J1" s="28"/>
      <c r="K1" s="26"/>
      <c r="L1" s="26"/>
      <c r="M1" s="26"/>
      <c r="N1" s="13"/>
    </row>
    <row r="2" spans="1:14" ht="15.5" x14ac:dyDescent="0.35">
      <c r="A2" s="80" t="s">
        <v>485</v>
      </c>
      <c r="B2" s="62"/>
      <c r="C2" s="62"/>
      <c r="D2" s="62"/>
      <c r="E2" s="62"/>
      <c r="F2" s="62"/>
      <c r="G2" s="62"/>
      <c r="H2" s="28"/>
      <c r="I2" s="28"/>
      <c r="J2" s="28"/>
      <c r="K2" s="69"/>
      <c r="L2" s="69"/>
      <c r="M2" s="69"/>
      <c r="N2" s="13"/>
    </row>
    <row r="3" spans="1:14" ht="15.5" x14ac:dyDescent="0.35">
      <c r="A3" s="25" t="s">
        <v>738</v>
      </c>
      <c r="B3" s="62"/>
      <c r="C3" s="62"/>
      <c r="D3" s="62"/>
      <c r="E3" s="62"/>
      <c r="F3" s="62"/>
      <c r="G3" s="62"/>
      <c r="H3" s="28"/>
      <c r="I3" s="28"/>
      <c r="J3" s="28"/>
      <c r="K3" s="69"/>
      <c r="L3" s="69"/>
      <c r="M3" s="69"/>
      <c r="N3" s="13"/>
    </row>
    <row r="4" spans="1:14" ht="102" customHeight="1" x14ac:dyDescent="0.35">
      <c r="A4" s="37" t="s">
        <v>14</v>
      </c>
      <c r="B4" s="31" t="s">
        <v>548</v>
      </c>
      <c r="C4" s="31" t="s">
        <v>333</v>
      </c>
      <c r="D4" s="31" t="s">
        <v>334</v>
      </c>
      <c r="E4" s="31" t="s">
        <v>336</v>
      </c>
      <c r="F4" s="31" t="s">
        <v>337</v>
      </c>
      <c r="G4" s="31" t="s">
        <v>338</v>
      </c>
      <c r="H4" s="31" t="s">
        <v>339</v>
      </c>
      <c r="I4" s="31" t="s">
        <v>340</v>
      </c>
      <c r="J4" s="31" t="s">
        <v>341</v>
      </c>
      <c r="K4" s="85" t="s">
        <v>335</v>
      </c>
      <c r="L4" s="85" t="s">
        <v>743</v>
      </c>
      <c r="M4" s="67"/>
    </row>
    <row r="5" spans="1:14" ht="15.5" x14ac:dyDescent="0.35">
      <c r="A5" s="119" t="s">
        <v>7</v>
      </c>
      <c r="B5" s="146">
        <v>595</v>
      </c>
      <c r="C5" s="130">
        <v>2E-3</v>
      </c>
      <c r="D5" s="129">
        <v>585</v>
      </c>
      <c r="E5" s="129">
        <v>235</v>
      </c>
      <c r="F5" s="129">
        <v>240</v>
      </c>
      <c r="G5" s="129">
        <v>110</v>
      </c>
      <c r="H5" s="115">
        <v>0.4</v>
      </c>
      <c r="I5" s="115">
        <v>0.41</v>
      </c>
      <c r="J5" s="115">
        <v>0.19</v>
      </c>
      <c r="K5" s="166" t="s">
        <v>535</v>
      </c>
      <c r="L5" s="170">
        <v>13</v>
      </c>
      <c r="M5" s="26"/>
    </row>
    <row r="6" spans="1:14" ht="15.5" x14ac:dyDescent="0.35">
      <c r="A6" s="150" t="s">
        <v>288</v>
      </c>
      <c r="B6" s="134" t="s">
        <v>486</v>
      </c>
      <c r="C6" s="135" t="s">
        <v>486</v>
      </c>
      <c r="D6" s="137">
        <v>0</v>
      </c>
      <c r="E6" s="137">
        <v>0</v>
      </c>
      <c r="F6" s="137">
        <v>0</v>
      </c>
      <c r="G6" s="136">
        <v>0</v>
      </c>
      <c r="H6" s="110">
        <v>0</v>
      </c>
      <c r="I6" s="110">
        <v>0</v>
      </c>
      <c r="J6" s="110">
        <v>0</v>
      </c>
      <c r="K6" s="168" t="s">
        <v>486</v>
      </c>
      <c r="L6" s="134" t="s">
        <v>535</v>
      </c>
      <c r="M6" s="26"/>
    </row>
    <row r="7" spans="1:14" ht="15.5" x14ac:dyDescent="0.35">
      <c r="A7" s="150" t="s">
        <v>289</v>
      </c>
      <c r="B7" s="134">
        <v>15</v>
      </c>
      <c r="C7" s="144">
        <v>2E-3</v>
      </c>
      <c r="D7" s="145">
        <v>5</v>
      </c>
      <c r="E7" s="145">
        <v>5</v>
      </c>
      <c r="F7" s="138" t="s">
        <v>486</v>
      </c>
      <c r="G7" s="133">
        <v>0</v>
      </c>
      <c r="H7" s="110" t="s">
        <v>486</v>
      </c>
      <c r="I7" s="110" t="s">
        <v>486</v>
      </c>
      <c r="J7" s="110" t="s">
        <v>486</v>
      </c>
      <c r="K7" s="169">
        <v>10</v>
      </c>
      <c r="L7" s="169">
        <v>11</v>
      </c>
      <c r="M7" s="26"/>
    </row>
    <row r="8" spans="1:14" ht="15.5" x14ac:dyDescent="0.35">
      <c r="A8" s="150" t="s">
        <v>290</v>
      </c>
      <c r="B8" s="134">
        <v>30</v>
      </c>
      <c r="C8" s="144">
        <v>4.0000000000000001E-3</v>
      </c>
      <c r="D8" s="145">
        <v>15</v>
      </c>
      <c r="E8" s="145">
        <v>5</v>
      </c>
      <c r="F8" s="145">
        <v>5</v>
      </c>
      <c r="G8" s="133">
        <v>5</v>
      </c>
      <c r="H8" s="110">
        <v>0.41</v>
      </c>
      <c r="I8" s="110" t="s">
        <v>486</v>
      </c>
      <c r="J8" s="110" t="s">
        <v>486</v>
      </c>
      <c r="K8" s="169">
        <v>25</v>
      </c>
      <c r="L8" s="169">
        <v>16</v>
      </c>
      <c r="M8" s="26"/>
    </row>
    <row r="9" spans="1:14" ht="15.5" x14ac:dyDescent="0.35">
      <c r="A9" s="150" t="s">
        <v>291</v>
      </c>
      <c r="B9" s="134">
        <v>25</v>
      </c>
      <c r="C9" s="144">
        <v>3.0000000000000001E-3</v>
      </c>
      <c r="D9" s="145">
        <v>35</v>
      </c>
      <c r="E9" s="145">
        <v>15</v>
      </c>
      <c r="F9" s="145">
        <v>10</v>
      </c>
      <c r="G9" s="133">
        <v>5</v>
      </c>
      <c r="H9" s="110">
        <v>0.52</v>
      </c>
      <c r="I9" s="110" t="s">
        <v>486</v>
      </c>
      <c r="J9" s="110" t="s">
        <v>486</v>
      </c>
      <c r="K9" s="169">
        <v>15</v>
      </c>
      <c r="L9" s="169">
        <v>16</v>
      </c>
      <c r="M9" s="26"/>
    </row>
    <row r="10" spans="1:14" ht="15.5" x14ac:dyDescent="0.35">
      <c r="A10" s="150" t="s">
        <v>292</v>
      </c>
      <c r="B10" s="134">
        <v>20</v>
      </c>
      <c r="C10" s="144">
        <v>3.0000000000000001E-3</v>
      </c>
      <c r="D10" s="145">
        <v>30</v>
      </c>
      <c r="E10" s="145">
        <v>10</v>
      </c>
      <c r="F10" s="145">
        <v>20</v>
      </c>
      <c r="G10" s="136" t="s">
        <v>486</v>
      </c>
      <c r="H10" s="110" t="s">
        <v>486</v>
      </c>
      <c r="I10" s="110">
        <v>0.6</v>
      </c>
      <c r="J10" s="110" t="s">
        <v>486</v>
      </c>
      <c r="K10" s="169">
        <v>5</v>
      </c>
      <c r="L10" s="169">
        <v>14</v>
      </c>
      <c r="M10" s="26"/>
    </row>
    <row r="11" spans="1:14" ht="15.5" x14ac:dyDescent="0.35">
      <c r="A11" s="147" t="s">
        <v>293</v>
      </c>
      <c r="B11" s="134">
        <v>30</v>
      </c>
      <c r="C11" s="144">
        <v>4.0000000000000001E-3</v>
      </c>
      <c r="D11" s="145">
        <v>25</v>
      </c>
      <c r="E11" s="145">
        <v>5</v>
      </c>
      <c r="F11" s="145">
        <v>15</v>
      </c>
      <c r="G11" s="136" t="s">
        <v>486</v>
      </c>
      <c r="H11" s="110" t="s">
        <v>486</v>
      </c>
      <c r="I11" s="110">
        <v>0.61</v>
      </c>
      <c r="J11" s="110" t="s">
        <v>486</v>
      </c>
      <c r="K11" s="169">
        <v>10</v>
      </c>
      <c r="L11" s="169">
        <v>11</v>
      </c>
      <c r="M11" s="26"/>
    </row>
    <row r="12" spans="1:14" ht="15.5" x14ac:dyDescent="0.35">
      <c r="A12" s="147" t="s">
        <v>281</v>
      </c>
      <c r="B12" s="134">
        <v>20</v>
      </c>
      <c r="C12" s="144">
        <v>3.0000000000000001E-3</v>
      </c>
      <c r="D12" s="145">
        <v>20</v>
      </c>
      <c r="E12" s="145">
        <v>10</v>
      </c>
      <c r="F12" s="145">
        <v>10</v>
      </c>
      <c r="G12" s="133">
        <v>0</v>
      </c>
      <c r="H12" s="110">
        <v>0.57999999999999996</v>
      </c>
      <c r="I12" s="110">
        <v>0.42</v>
      </c>
      <c r="J12" s="110">
        <v>0</v>
      </c>
      <c r="K12" s="169">
        <v>15</v>
      </c>
      <c r="L12" s="169">
        <v>13</v>
      </c>
      <c r="M12" s="26"/>
    </row>
    <row r="13" spans="1:14" ht="15.5" x14ac:dyDescent="0.35">
      <c r="A13" s="147" t="s">
        <v>294</v>
      </c>
      <c r="B13" s="134">
        <v>25</v>
      </c>
      <c r="C13" s="144">
        <v>3.0000000000000001E-3</v>
      </c>
      <c r="D13" s="145">
        <v>30</v>
      </c>
      <c r="E13" s="145">
        <v>10</v>
      </c>
      <c r="F13" s="145">
        <v>20</v>
      </c>
      <c r="G13" s="136" t="s">
        <v>486</v>
      </c>
      <c r="H13" s="110" t="s">
        <v>486</v>
      </c>
      <c r="I13" s="110">
        <v>0.57999999999999996</v>
      </c>
      <c r="J13" s="110" t="s">
        <v>486</v>
      </c>
      <c r="K13" s="169">
        <v>10</v>
      </c>
      <c r="L13" s="169">
        <v>12</v>
      </c>
      <c r="M13" s="26"/>
    </row>
    <row r="14" spans="1:14" ht="15.5" x14ac:dyDescent="0.35">
      <c r="A14" s="147" t="s">
        <v>295</v>
      </c>
      <c r="B14" s="134">
        <v>25</v>
      </c>
      <c r="C14" s="144">
        <v>4.0000000000000001E-3</v>
      </c>
      <c r="D14" s="145">
        <v>20</v>
      </c>
      <c r="E14" s="145">
        <v>10</v>
      </c>
      <c r="F14" s="145">
        <v>10</v>
      </c>
      <c r="G14" s="136" t="s">
        <v>486</v>
      </c>
      <c r="H14" s="110" t="s">
        <v>486</v>
      </c>
      <c r="I14" s="110">
        <v>0.45</v>
      </c>
      <c r="J14" s="110" t="s">
        <v>486</v>
      </c>
      <c r="K14" s="169">
        <v>15</v>
      </c>
      <c r="L14" s="169">
        <v>11</v>
      </c>
      <c r="M14" s="26"/>
    </row>
    <row r="15" spans="1:14" ht="15.5" x14ac:dyDescent="0.35">
      <c r="A15" s="147" t="s">
        <v>296</v>
      </c>
      <c r="B15" s="134">
        <v>25</v>
      </c>
      <c r="C15" s="144">
        <v>4.0000000000000001E-3</v>
      </c>
      <c r="D15" s="145">
        <v>25</v>
      </c>
      <c r="E15" s="145">
        <v>10</v>
      </c>
      <c r="F15" s="145">
        <v>10</v>
      </c>
      <c r="G15" s="136" t="s">
        <v>486</v>
      </c>
      <c r="H15" s="110">
        <v>0.48</v>
      </c>
      <c r="I15" s="110" t="s">
        <v>486</v>
      </c>
      <c r="J15" s="110" t="s">
        <v>486</v>
      </c>
      <c r="K15" s="169">
        <v>15</v>
      </c>
      <c r="L15" s="169">
        <v>10</v>
      </c>
      <c r="M15" s="26"/>
    </row>
    <row r="16" spans="1:14" ht="15.5" x14ac:dyDescent="0.35">
      <c r="A16" s="147" t="s">
        <v>297</v>
      </c>
      <c r="B16" s="134">
        <v>25</v>
      </c>
      <c r="C16" s="144">
        <v>2E-3</v>
      </c>
      <c r="D16" s="145">
        <v>25</v>
      </c>
      <c r="E16" s="145">
        <v>15</v>
      </c>
      <c r="F16" s="145">
        <v>10</v>
      </c>
      <c r="G16" s="133">
        <v>5</v>
      </c>
      <c r="H16" s="110">
        <v>0.52</v>
      </c>
      <c r="I16" s="110">
        <v>0.3</v>
      </c>
      <c r="J16" s="110">
        <v>0.19</v>
      </c>
      <c r="K16" s="169">
        <v>10</v>
      </c>
      <c r="L16" s="169">
        <v>14</v>
      </c>
      <c r="M16" s="26"/>
    </row>
    <row r="17" spans="1:14" ht="15.5" x14ac:dyDescent="0.35">
      <c r="A17" s="147" t="s">
        <v>298</v>
      </c>
      <c r="B17" s="134">
        <v>30</v>
      </c>
      <c r="C17" s="144">
        <v>2E-3</v>
      </c>
      <c r="D17" s="145">
        <v>25</v>
      </c>
      <c r="E17" s="145">
        <v>15</v>
      </c>
      <c r="F17" s="145">
        <v>5</v>
      </c>
      <c r="G17" s="133">
        <v>5</v>
      </c>
      <c r="H17" s="110">
        <v>0.54</v>
      </c>
      <c r="I17" s="110">
        <v>0.23</v>
      </c>
      <c r="J17" s="110">
        <v>0.23</v>
      </c>
      <c r="K17" s="169">
        <v>15</v>
      </c>
      <c r="L17" s="169">
        <v>13</v>
      </c>
      <c r="M17" s="26"/>
    </row>
    <row r="18" spans="1:14" ht="15.5" x14ac:dyDescent="0.35">
      <c r="A18" s="147" t="s">
        <v>299</v>
      </c>
      <c r="B18" s="134">
        <v>25</v>
      </c>
      <c r="C18" s="144">
        <v>2E-3</v>
      </c>
      <c r="D18" s="145">
        <v>20</v>
      </c>
      <c r="E18" s="145">
        <v>10</v>
      </c>
      <c r="F18" s="145">
        <v>10</v>
      </c>
      <c r="G18" s="133">
        <v>5</v>
      </c>
      <c r="H18" s="110">
        <v>0.38</v>
      </c>
      <c r="I18" s="110">
        <v>0.43</v>
      </c>
      <c r="J18" s="110">
        <v>0.19</v>
      </c>
      <c r="K18" s="169">
        <v>20</v>
      </c>
      <c r="L18" s="169">
        <v>15</v>
      </c>
      <c r="M18" s="26"/>
    </row>
    <row r="19" spans="1:14" ht="15.5" x14ac:dyDescent="0.35">
      <c r="A19" s="147" t="s">
        <v>300</v>
      </c>
      <c r="B19" s="134">
        <v>45</v>
      </c>
      <c r="C19" s="144">
        <v>4.0000000000000001E-3</v>
      </c>
      <c r="D19" s="145">
        <v>30</v>
      </c>
      <c r="E19" s="145">
        <v>15</v>
      </c>
      <c r="F19" s="145">
        <v>15</v>
      </c>
      <c r="G19" s="133">
        <v>5</v>
      </c>
      <c r="H19" s="110">
        <v>0.47</v>
      </c>
      <c r="I19" s="110">
        <v>0.43</v>
      </c>
      <c r="J19" s="110">
        <v>0.1</v>
      </c>
      <c r="K19" s="169">
        <v>35</v>
      </c>
      <c r="L19" s="169">
        <v>13</v>
      </c>
      <c r="M19" s="26"/>
    </row>
    <row r="20" spans="1:14" ht="15.5" x14ac:dyDescent="0.35">
      <c r="A20" s="147" t="s">
        <v>301</v>
      </c>
      <c r="B20" s="134">
        <v>35</v>
      </c>
      <c r="C20" s="144">
        <v>5.0000000000000001E-3</v>
      </c>
      <c r="D20" s="145">
        <v>55</v>
      </c>
      <c r="E20" s="145">
        <v>15</v>
      </c>
      <c r="F20" s="145">
        <v>25</v>
      </c>
      <c r="G20" s="133">
        <v>10</v>
      </c>
      <c r="H20" s="110">
        <v>0.28000000000000003</v>
      </c>
      <c r="I20" s="110">
        <v>0.51</v>
      </c>
      <c r="J20" s="110">
        <v>0.21</v>
      </c>
      <c r="K20" s="169">
        <v>15</v>
      </c>
      <c r="L20" s="169">
        <v>14</v>
      </c>
      <c r="M20" s="26"/>
    </row>
    <row r="21" spans="1:14" ht="15.5" x14ac:dyDescent="0.35">
      <c r="A21" s="147" t="s">
        <v>302</v>
      </c>
      <c r="B21" s="134">
        <v>35</v>
      </c>
      <c r="C21" s="144">
        <v>5.0000000000000001E-3</v>
      </c>
      <c r="D21" s="145">
        <v>30</v>
      </c>
      <c r="E21" s="145">
        <v>10</v>
      </c>
      <c r="F21" s="145">
        <v>15</v>
      </c>
      <c r="G21" s="133">
        <v>5</v>
      </c>
      <c r="H21" s="110">
        <v>0.35</v>
      </c>
      <c r="I21" s="110">
        <v>0.42</v>
      </c>
      <c r="J21" s="110">
        <v>0.23</v>
      </c>
      <c r="K21" s="169">
        <v>20</v>
      </c>
      <c r="L21" s="169">
        <v>14</v>
      </c>
      <c r="M21" s="26"/>
    </row>
    <row r="22" spans="1:14" ht="15.5" x14ac:dyDescent="0.35">
      <c r="A22" s="147" t="s">
        <v>303</v>
      </c>
      <c r="B22" s="134">
        <v>40</v>
      </c>
      <c r="C22" s="144">
        <v>5.0000000000000001E-3</v>
      </c>
      <c r="D22" s="145">
        <v>30</v>
      </c>
      <c r="E22" s="145">
        <v>10</v>
      </c>
      <c r="F22" s="145">
        <v>10</v>
      </c>
      <c r="G22" s="133">
        <v>10</v>
      </c>
      <c r="H22" s="110">
        <v>0.38</v>
      </c>
      <c r="I22" s="110">
        <v>0.34</v>
      </c>
      <c r="J22" s="110">
        <v>0.28000000000000003</v>
      </c>
      <c r="K22" s="169">
        <v>30</v>
      </c>
      <c r="L22" s="169">
        <v>14</v>
      </c>
      <c r="M22" s="26"/>
    </row>
    <row r="23" spans="1:14" ht="15.5" x14ac:dyDescent="0.35">
      <c r="A23" s="147" t="s">
        <v>304</v>
      </c>
      <c r="B23" s="134">
        <v>25</v>
      </c>
      <c r="C23" s="144">
        <v>3.0000000000000001E-3</v>
      </c>
      <c r="D23" s="145">
        <v>35</v>
      </c>
      <c r="E23" s="145">
        <v>15</v>
      </c>
      <c r="F23" s="145">
        <v>10</v>
      </c>
      <c r="G23" s="133">
        <v>10</v>
      </c>
      <c r="H23" s="110">
        <v>0.44</v>
      </c>
      <c r="I23" s="110">
        <v>0.32</v>
      </c>
      <c r="J23" s="110">
        <v>0.24</v>
      </c>
      <c r="K23" s="169">
        <v>15</v>
      </c>
      <c r="L23" s="169">
        <v>13</v>
      </c>
      <c r="M23" s="26"/>
    </row>
    <row r="24" spans="1:14" ht="15.5" x14ac:dyDescent="0.35">
      <c r="A24" s="147" t="s">
        <v>282</v>
      </c>
      <c r="B24" s="134">
        <v>30</v>
      </c>
      <c r="C24" s="144">
        <v>3.0000000000000001E-3</v>
      </c>
      <c r="D24" s="145">
        <v>25</v>
      </c>
      <c r="E24" s="145">
        <v>10</v>
      </c>
      <c r="F24" s="145">
        <v>10</v>
      </c>
      <c r="G24" s="133">
        <v>5</v>
      </c>
      <c r="H24" s="110">
        <v>0.38</v>
      </c>
      <c r="I24" s="110">
        <v>0.35</v>
      </c>
      <c r="J24" s="110">
        <v>0.27</v>
      </c>
      <c r="K24" s="169">
        <v>20</v>
      </c>
      <c r="L24" s="169">
        <v>14</v>
      </c>
      <c r="M24" s="26"/>
    </row>
    <row r="25" spans="1:14" ht="15.5" x14ac:dyDescent="0.35">
      <c r="A25" s="147" t="s">
        <v>305</v>
      </c>
      <c r="B25" s="134">
        <v>40</v>
      </c>
      <c r="C25" s="144">
        <v>4.0000000000000001E-3</v>
      </c>
      <c r="D25" s="145">
        <v>40</v>
      </c>
      <c r="E25" s="145">
        <v>10</v>
      </c>
      <c r="F25" s="145">
        <v>10</v>
      </c>
      <c r="G25" s="133">
        <v>15</v>
      </c>
      <c r="H25" s="110">
        <v>0.31</v>
      </c>
      <c r="I25" s="110">
        <v>0.28000000000000003</v>
      </c>
      <c r="J25" s="110">
        <v>0.41</v>
      </c>
      <c r="K25" s="169">
        <v>20</v>
      </c>
      <c r="L25" s="169">
        <v>10</v>
      </c>
      <c r="M25" s="26"/>
    </row>
    <row r="26" spans="1:14" ht="15.5" x14ac:dyDescent="0.35">
      <c r="A26" s="147" t="s">
        <v>306</v>
      </c>
      <c r="B26" s="134">
        <v>30</v>
      </c>
      <c r="C26" s="144">
        <v>3.0000000000000001E-3</v>
      </c>
      <c r="D26" s="145">
        <v>30</v>
      </c>
      <c r="E26" s="145">
        <v>15</v>
      </c>
      <c r="F26" s="145">
        <v>10</v>
      </c>
      <c r="G26" s="133">
        <v>10</v>
      </c>
      <c r="H26" s="110">
        <v>0.44</v>
      </c>
      <c r="I26" s="110">
        <v>0.28000000000000003</v>
      </c>
      <c r="J26" s="110">
        <v>0.28000000000000003</v>
      </c>
      <c r="K26" s="169">
        <v>20</v>
      </c>
      <c r="L26" s="169">
        <v>8</v>
      </c>
      <c r="M26" s="26"/>
    </row>
    <row r="27" spans="1:14" ht="15.5" x14ac:dyDescent="0.35">
      <c r="A27" s="147" t="s">
        <v>307</v>
      </c>
      <c r="B27" s="134">
        <v>20</v>
      </c>
      <c r="C27" s="144">
        <v>3.0000000000000001E-3</v>
      </c>
      <c r="D27" s="145">
        <v>30</v>
      </c>
      <c r="E27" s="145">
        <v>5</v>
      </c>
      <c r="F27" s="145">
        <v>15</v>
      </c>
      <c r="G27" s="133">
        <v>10</v>
      </c>
      <c r="H27" s="110">
        <v>0.14000000000000001</v>
      </c>
      <c r="I27" s="110">
        <v>0.54</v>
      </c>
      <c r="J27" s="110">
        <v>0.32</v>
      </c>
      <c r="K27" s="169">
        <v>15</v>
      </c>
      <c r="L27" s="169">
        <v>11</v>
      </c>
      <c r="M27" s="26"/>
    </row>
    <row r="28" spans="1:14" ht="15.5" x14ac:dyDescent="0.35">
      <c r="A28" s="63" t="s">
        <v>9</v>
      </c>
      <c r="B28" s="82"/>
      <c r="C28" s="82"/>
      <c r="D28" s="82"/>
      <c r="E28" s="82"/>
      <c r="F28" s="82"/>
      <c r="G28" s="82"/>
      <c r="H28" s="82"/>
      <c r="I28" s="82"/>
      <c r="J28" s="82"/>
      <c r="K28" s="82"/>
      <c r="L28" s="82"/>
      <c r="M28" s="26"/>
    </row>
    <row r="29" spans="1:14" ht="15.5" x14ac:dyDescent="0.35">
      <c r="A29" s="63" t="s">
        <v>79</v>
      </c>
      <c r="B29" s="26"/>
      <c r="C29" s="26"/>
      <c r="D29" s="26"/>
      <c r="E29" s="26"/>
      <c r="F29" s="26"/>
      <c r="G29" s="26"/>
      <c r="H29" s="26"/>
      <c r="I29" s="26"/>
      <c r="J29" s="26"/>
      <c r="K29" s="78"/>
      <c r="L29" s="26"/>
      <c r="M29" s="26"/>
    </row>
    <row r="30" spans="1:14" ht="15.5" x14ac:dyDescent="0.35">
      <c r="A30" s="26" t="s">
        <v>740</v>
      </c>
      <c r="B30" s="26"/>
      <c r="C30" s="26"/>
      <c r="D30" s="26"/>
      <c r="E30" s="26"/>
      <c r="F30" s="26"/>
      <c r="G30" s="26"/>
      <c r="H30" s="26"/>
      <c r="I30" s="26"/>
      <c r="J30" s="26"/>
      <c r="K30" s="26"/>
      <c r="L30" s="26"/>
      <c r="M30" s="26"/>
    </row>
    <row r="31" spans="1:14" ht="15.5" x14ac:dyDescent="0.35">
      <c r="A31" s="26" t="s">
        <v>739</v>
      </c>
      <c r="B31" s="26"/>
      <c r="C31" s="26"/>
      <c r="D31" s="26"/>
      <c r="E31" s="26"/>
      <c r="F31" s="26"/>
      <c r="G31" s="26"/>
      <c r="H31" s="26"/>
      <c r="I31" s="26"/>
      <c r="J31" s="26"/>
      <c r="K31" s="26"/>
      <c r="L31" s="26"/>
      <c r="M31" s="26"/>
      <c r="N31" s="26"/>
    </row>
    <row r="32" spans="1:14" ht="15.5" x14ac:dyDescent="0.35">
      <c r="A32" s="45" t="s">
        <v>741</v>
      </c>
      <c r="B32" s="26"/>
      <c r="C32" s="26"/>
      <c r="D32" s="26"/>
      <c r="E32" s="26"/>
      <c r="F32" s="26"/>
      <c r="G32" s="26"/>
      <c r="H32" s="26"/>
      <c r="I32" s="26"/>
      <c r="J32" s="26"/>
      <c r="K32" s="26"/>
      <c r="L32" s="26"/>
      <c r="M32" s="26"/>
      <c r="N32" s="26"/>
    </row>
    <row r="33" spans="1:14" ht="15.5" x14ac:dyDescent="0.35">
      <c r="A33" s="45" t="s">
        <v>742</v>
      </c>
      <c r="B33" s="21"/>
      <c r="C33" s="21"/>
      <c r="D33" s="21"/>
      <c r="E33" s="21"/>
      <c r="F33" s="21"/>
      <c r="G33" s="21"/>
      <c r="H33" s="21"/>
      <c r="I33" s="21"/>
      <c r="J33" s="21"/>
      <c r="K33" s="26"/>
      <c r="L33" s="26"/>
      <c r="M33" s="26"/>
      <c r="N33" s="26"/>
    </row>
    <row r="34" spans="1:14" ht="15.5" x14ac:dyDescent="0.35">
      <c r="A34" s="21"/>
      <c r="B34" s="21"/>
      <c r="C34" s="21"/>
      <c r="D34" s="21"/>
      <c r="E34" s="21"/>
      <c r="F34" s="21"/>
      <c r="G34" s="21"/>
      <c r="H34" s="21"/>
      <c r="I34" s="21"/>
      <c r="J34" s="21"/>
      <c r="K34" s="21"/>
      <c r="L34" s="21"/>
      <c r="M34" s="82"/>
      <c r="N34" s="26"/>
    </row>
    <row r="35" spans="1:14" ht="15.5" x14ac:dyDescent="0.35">
      <c r="A35" s="21"/>
      <c r="B35" s="21"/>
      <c r="C35" s="21"/>
      <c r="D35" s="21"/>
      <c r="E35" s="21"/>
      <c r="F35" s="21"/>
      <c r="G35" s="21"/>
      <c r="H35" s="21"/>
      <c r="I35" s="21"/>
      <c r="J35" s="21"/>
      <c r="K35" s="21"/>
      <c r="L35" s="21"/>
      <c r="M35" s="26"/>
      <c r="N35" s="26"/>
    </row>
    <row r="36" spans="1:14" ht="15.5" x14ac:dyDescent="0.35">
      <c r="A36" s="21"/>
      <c r="B36" s="21"/>
      <c r="C36" s="21"/>
      <c r="D36" s="21"/>
      <c r="E36" s="99"/>
      <c r="F36" s="21"/>
      <c r="G36" s="100"/>
      <c r="H36" s="21"/>
      <c r="I36" s="21"/>
      <c r="J36" s="21"/>
      <c r="K36" s="21"/>
      <c r="L36" s="21"/>
      <c r="M36" s="26"/>
      <c r="N36" s="26"/>
    </row>
    <row r="37" spans="1:14" ht="15.5" x14ac:dyDescent="0.35">
      <c r="A37" s="21"/>
      <c r="B37" s="21"/>
      <c r="C37" s="21"/>
      <c r="D37" s="21"/>
      <c r="E37" s="99"/>
      <c r="F37" s="21"/>
      <c r="G37" s="100"/>
      <c r="H37" s="21"/>
      <c r="I37" s="21"/>
      <c r="J37" s="21"/>
      <c r="K37" s="21"/>
      <c r="L37" s="21"/>
      <c r="M37" s="26"/>
      <c r="N37" s="26"/>
    </row>
    <row r="38" spans="1:14" ht="15.5" x14ac:dyDescent="0.35">
      <c r="C38" s="21"/>
      <c r="E38" s="99"/>
      <c r="G38" s="100"/>
      <c r="M38" s="26"/>
      <c r="N38" s="21"/>
    </row>
    <row r="39" spans="1:14" ht="15.5" x14ac:dyDescent="0.35">
      <c r="C39" s="21"/>
      <c r="E39" s="99"/>
      <c r="G39" s="100"/>
      <c r="M39" s="26"/>
      <c r="N39" s="21"/>
    </row>
    <row r="40" spans="1:14" ht="15.5" x14ac:dyDescent="0.35">
      <c r="C40" s="21"/>
      <c r="E40" s="99"/>
      <c r="G40" s="100"/>
      <c r="M40" s="26"/>
      <c r="N40" s="21"/>
    </row>
    <row r="41" spans="1:14" x14ac:dyDescent="0.35">
      <c r="C41" s="21"/>
      <c r="E41" s="99"/>
      <c r="M41" s="21"/>
      <c r="N41" s="21"/>
    </row>
    <row r="42" spans="1:14" x14ac:dyDescent="0.35">
      <c r="C42" s="21"/>
      <c r="M42" s="21"/>
      <c r="N42" s="21"/>
    </row>
    <row r="43" spans="1:14" x14ac:dyDescent="0.35">
      <c r="C43" s="21"/>
      <c r="M43" s="21"/>
      <c r="N43" s="21"/>
    </row>
    <row r="44" spans="1:14" x14ac:dyDescent="0.35">
      <c r="M44" s="21"/>
      <c r="N44" s="21"/>
    </row>
    <row r="45" spans="1:14" x14ac:dyDescent="0.35">
      <c r="M45" s="21"/>
      <c r="N45" s="21"/>
    </row>
  </sheetData>
  <conditionalFormatting sqref="H4:M4 H28:L28 M5:M34">
    <cfRule type="dataBar" priority="60">
      <dataBar>
        <cfvo type="num" val="0"/>
        <cfvo type="num" val="1"/>
        <color theme="4" tint="-0.249977111117893"/>
      </dataBar>
      <extLst>
        <ext xmlns:x14="http://schemas.microsoft.com/office/spreadsheetml/2009/9/main" uri="{B025F937-C7B1-47D3-B67F-A62EFF666E3E}">
          <x14:id>{712CC88C-89F8-44A4-BBF7-6288089B2748}</x14:id>
        </ext>
      </extLst>
    </cfRule>
  </conditionalFormatting>
  <conditionalFormatting sqref="C5">
    <cfRule type="dataBar" priority="11">
      <dataBar>
        <cfvo type="num" val="0"/>
        <cfvo type="num" val="1"/>
        <color rgb="FFB4A9D4"/>
      </dataBar>
      <extLst>
        <ext xmlns:x14="http://schemas.microsoft.com/office/spreadsheetml/2009/9/main" uri="{B025F937-C7B1-47D3-B67F-A62EFF666E3E}">
          <x14:id>{3C4ADF9B-7FF2-4559-91F8-B24D030EFD39}</x14:id>
        </ext>
      </extLst>
    </cfRule>
  </conditionalFormatting>
  <conditionalFormatting sqref="C7:C27">
    <cfRule type="dataBar" priority="10">
      <dataBar>
        <cfvo type="num" val="0"/>
        <cfvo type="num" val="1"/>
        <color rgb="FFB4A9D4"/>
      </dataBar>
      <extLst>
        <ext xmlns:x14="http://schemas.microsoft.com/office/spreadsheetml/2009/9/main" uri="{B025F937-C7B1-47D3-B67F-A62EFF666E3E}">
          <x14:id>{E2594D55-2503-4C28-B0A0-CFFB2D783C10}</x14:id>
        </ext>
      </extLst>
    </cfRule>
  </conditionalFormatting>
  <conditionalFormatting sqref="H6">
    <cfRule type="dataBar" priority="9">
      <dataBar>
        <cfvo type="num" val="0"/>
        <cfvo type="num" val="1"/>
        <color rgb="FFB4A9D4"/>
      </dataBar>
      <extLst>
        <ext xmlns:x14="http://schemas.microsoft.com/office/spreadsheetml/2009/9/main" uri="{B025F937-C7B1-47D3-B67F-A62EFF666E3E}">
          <x14:id>{E8026882-AA25-4B93-873D-E2236AF78890}</x14:id>
        </ext>
      </extLst>
    </cfRule>
  </conditionalFormatting>
  <conditionalFormatting sqref="H5">
    <cfRule type="dataBar" priority="8">
      <dataBar>
        <cfvo type="num" val="0"/>
        <cfvo type="num" val="1"/>
        <color rgb="FFB4A9D4"/>
      </dataBar>
      <extLst>
        <ext xmlns:x14="http://schemas.microsoft.com/office/spreadsheetml/2009/9/main" uri="{B025F937-C7B1-47D3-B67F-A62EFF666E3E}">
          <x14:id>{AF045E75-26A4-4543-B26A-FA89E91072E2}</x14:id>
        </ext>
      </extLst>
    </cfRule>
  </conditionalFormatting>
  <conditionalFormatting sqref="H7:H27">
    <cfRule type="dataBar" priority="7">
      <dataBar>
        <cfvo type="num" val="0"/>
        <cfvo type="num" val="1"/>
        <color rgb="FFB4A9D4"/>
      </dataBar>
      <extLst>
        <ext xmlns:x14="http://schemas.microsoft.com/office/spreadsheetml/2009/9/main" uri="{B025F937-C7B1-47D3-B67F-A62EFF666E3E}">
          <x14:id>{D6F0A61F-898D-4BFB-9C23-22A02F87329D}</x14:id>
        </ext>
      </extLst>
    </cfRule>
  </conditionalFormatting>
  <conditionalFormatting sqref="I6">
    <cfRule type="dataBar" priority="6">
      <dataBar>
        <cfvo type="num" val="0"/>
        <cfvo type="num" val="1"/>
        <color rgb="FFB4A9D4"/>
      </dataBar>
      <extLst>
        <ext xmlns:x14="http://schemas.microsoft.com/office/spreadsheetml/2009/9/main" uri="{B025F937-C7B1-47D3-B67F-A62EFF666E3E}">
          <x14:id>{FC7869D2-79E1-4E8E-9937-BA5A5B8F8387}</x14:id>
        </ext>
      </extLst>
    </cfRule>
  </conditionalFormatting>
  <conditionalFormatting sqref="I5">
    <cfRule type="dataBar" priority="5">
      <dataBar>
        <cfvo type="num" val="0"/>
        <cfvo type="num" val="1"/>
        <color rgb="FFB4A9D4"/>
      </dataBar>
      <extLst>
        <ext xmlns:x14="http://schemas.microsoft.com/office/spreadsheetml/2009/9/main" uri="{B025F937-C7B1-47D3-B67F-A62EFF666E3E}">
          <x14:id>{FC407F6E-4B8C-458A-BBA8-0961E0F93C88}</x14:id>
        </ext>
      </extLst>
    </cfRule>
  </conditionalFormatting>
  <conditionalFormatting sqref="I7:I27">
    <cfRule type="dataBar" priority="4">
      <dataBar>
        <cfvo type="num" val="0"/>
        <cfvo type="num" val="1"/>
        <color rgb="FFB4A9D4"/>
      </dataBar>
      <extLst>
        <ext xmlns:x14="http://schemas.microsoft.com/office/spreadsheetml/2009/9/main" uri="{B025F937-C7B1-47D3-B67F-A62EFF666E3E}">
          <x14:id>{6891145B-781A-45E5-B8F2-18ADFCFC6461}</x14:id>
        </ext>
      </extLst>
    </cfRule>
  </conditionalFormatting>
  <conditionalFormatting sqref="J6">
    <cfRule type="dataBar" priority="3">
      <dataBar>
        <cfvo type="num" val="0"/>
        <cfvo type="num" val="1"/>
        <color rgb="FFB4A9D4"/>
      </dataBar>
      <extLst>
        <ext xmlns:x14="http://schemas.microsoft.com/office/spreadsheetml/2009/9/main" uri="{B025F937-C7B1-47D3-B67F-A62EFF666E3E}">
          <x14:id>{A9A9E421-FCDA-469C-BB4C-23CE88C5537A}</x14:id>
        </ext>
      </extLst>
    </cfRule>
  </conditionalFormatting>
  <conditionalFormatting sqref="J5">
    <cfRule type="dataBar" priority="2">
      <dataBar>
        <cfvo type="num" val="0"/>
        <cfvo type="num" val="1"/>
        <color rgb="FFB4A9D4"/>
      </dataBar>
      <extLst>
        <ext xmlns:x14="http://schemas.microsoft.com/office/spreadsheetml/2009/9/main" uri="{B025F937-C7B1-47D3-B67F-A62EFF666E3E}">
          <x14:id>{EF3D8585-00A9-47A0-840D-F0817180E7D8}</x14:id>
        </ext>
      </extLst>
    </cfRule>
  </conditionalFormatting>
  <conditionalFormatting sqref="J7:J27">
    <cfRule type="dataBar" priority="1">
      <dataBar>
        <cfvo type="num" val="0"/>
        <cfvo type="num" val="1"/>
        <color rgb="FFB4A9D4"/>
      </dataBar>
      <extLst>
        <ext xmlns:x14="http://schemas.microsoft.com/office/spreadsheetml/2009/9/main" uri="{B025F937-C7B1-47D3-B67F-A62EFF666E3E}">
          <x14:id>{E0864012-CA20-4567-A105-1AACDE9F576C}</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12CC88C-89F8-44A4-BBF7-6288089B2748}">
            <x14:dataBar minLength="0" maxLength="100" border="1">
              <x14:cfvo type="num">
                <xm:f>0</xm:f>
              </x14:cfvo>
              <x14:cfvo type="num">
                <xm:f>1</xm:f>
              </x14:cfvo>
              <x14:borderColor theme="8" tint="0.39997558519241921"/>
              <x14:negativeFillColor rgb="FFFF0000"/>
              <x14:axisColor rgb="FF000000"/>
            </x14:dataBar>
          </x14:cfRule>
          <xm:sqref>H4:M4 H28:L28 M5:M34</xm:sqref>
        </x14:conditionalFormatting>
        <x14:conditionalFormatting xmlns:xm="http://schemas.microsoft.com/office/excel/2006/main">
          <x14:cfRule type="dataBar" id="{3C4ADF9B-7FF2-4559-91F8-B24D030EFD39}">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E2594D55-2503-4C28-B0A0-CFFB2D783C10}">
            <x14:dataBar minLength="0" maxLength="100" gradient="0">
              <x14:cfvo type="num">
                <xm:f>0</xm:f>
              </x14:cfvo>
              <x14:cfvo type="num">
                <xm:f>1</xm:f>
              </x14:cfvo>
              <x14:negativeFillColor rgb="FFFF0000"/>
              <x14:axisColor rgb="FF000000"/>
            </x14:dataBar>
          </x14:cfRule>
          <xm:sqref>C7:C27</xm:sqref>
        </x14:conditionalFormatting>
        <x14:conditionalFormatting xmlns:xm="http://schemas.microsoft.com/office/excel/2006/main">
          <x14:cfRule type="dataBar" id="{E8026882-AA25-4B93-873D-E2236AF78890}">
            <x14:dataBar minLength="0" maxLength="100" gradient="0">
              <x14:cfvo type="num">
                <xm:f>0</xm:f>
              </x14:cfvo>
              <x14:cfvo type="num">
                <xm:f>1</xm:f>
              </x14:cfvo>
              <x14:negativeFillColor rgb="FFFF0000"/>
              <x14:axisColor rgb="FF000000"/>
            </x14:dataBar>
          </x14:cfRule>
          <xm:sqref>H6</xm:sqref>
        </x14:conditionalFormatting>
        <x14:conditionalFormatting xmlns:xm="http://schemas.microsoft.com/office/excel/2006/main">
          <x14:cfRule type="dataBar" id="{AF045E75-26A4-4543-B26A-FA89E91072E2}">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D6F0A61F-898D-4BFB-9C23-22A02F87329D}">
            <x14:dataBar minLength="0" maxLength="100" gradient="0">
              <x14:cfvo type="num">
                <xm:f>0</xm:f>
              </x14:cfvo>
              <x14:cfvo type="num">
                <xm:f>1</xm:f>
              </x14:cfvo>
              <x14:negativeFillColor rgb="FFFF0000"/>
              <x14:axisColor rgb="FF000000"/>
            </x14:dataBar>
          </x14:cfRule>
          <xm:sqref>H7:H27</xm:sqref>
        </x14:conditionalFormatting>
        <x14:conditionalFormatting xmlns:xm="http://schemas.microsoft.com/office/excel/2006/main">
          <x14:cfRule type="dataBar" id="{FC7869D2-79E1-4E8E-9937-BA5A5B8F8387}">
            <x14:dataBar minLength="0" maxLength="100" gradient="0">
              <x14:cfvo type="num">
                <xm:f>0</xm:f>
              </x14:cfvo>
              <x14:cfvo type="num">
                <xm:f>1</xm:f>
              </x14:cfvo>
              <x14:negativeFillColor rgb="FFFF0000"/>
              <x14:axisColor rgb="FF000000"/>
            </x14:dataBar>
          </x14:cfRule>
          <xm:sqref>I6</xm:sqref>
        </x14:conditionalFormatting>
        <x14:conditionalFormatting xmlns:xm="http://schemas.microsoft.com/office/excel/2006/main">
          <x14:cfRule type="dataBar" id="{FC407F6E-4B8C-458A-BBA8-0961E0F93C88}">
            <x14:dataBar minLength="0" maxLength="100" gradient="0">
              <x14:cfvo type="num">
                <xm:f>0</xm:f>
              </x14:cfvo>
              <x14:cfvo type="num">
                <xm:f>1</xm:f>
              </x14:cfvo>
              <x14:negativeFillColor rgb="FFFF0000"/>
              <x14:axisColor rgb="FF000000"/>
            </x14:dataBar>
          </x14:cfRule>
          <xm:sqref>I5</xm:sqref>
        </x14:conditionalFormatting>
        <x14:conditionalFormatting xmlns:xm="http://schemas.microsoft.com/office/excel/2006/main">
          <x14:cfRule type="dataBar" id="{6891145B-781A-45E5-B8F2-18ADFCFC6461}">
            <x14:dataBar minLength="0" maxLength="100" gradient="0">
              <x14:cfvo type="num">
                <xm:f>0</xm:f>
              </x14:cfvo>
              <x14:cfvo type="num">
                <xm:f>1</xm:f>
              </x14:cfvo>
              <x14:negativeFillColor rgb="FFFF0000"/>
              <x14:axisColor rgb="FF000000"/>
            </x14:dataBar>
          </x14:cfRule>
          <xm:sqref>I7:I27</xm:sqref>
        </x14:conditionalFormatting>
        <x14:conditionalFormatting xmlns:xm="http://schemas.microsoft.com/office/excel/2006/main">
          <x14:cfRule type="dataBar" id="{A9A9E421-FCDA-469C-BB4C-23CE88C5537A}">
            <x14:dataBar minLength="0" maxLength="100" gradient="0">
              <x14:cfvo type="num">
                <xm:f>0</xm:f>
              </x14:cfvo>
              <x14:cfvo type="num">
                <xm:f>1</xm:f>
              </x14:cfvo>
              <x14:negativeFillColor rgb="FFFF0000"/>
              <x14:axisColor rgb="FF000000"/>
            </x14:dataBar>
          </x14:cfRule>
          <xm:sqref>J6</xm:sqref>
        </x14:conditionalFormatting>
        <x14:conditionalFormatting xmlns:xm="http://schemas.microsoft.com/office/excel/2006/main">
          <x14:cfRule type="dataBar" id="{EF3D8585-00A9-47A0-840D-F0817180E7D8}">
            <x14:dataBar minLength="0" maxLength="100" gradient="0">
              <x14:cfvo type="num">
                <xm:f>0</xm:f>
              </x14:cfvo>
              <x14:cfvo type="num">
                <xm:f>1</xm:f>
              </x14:cfvo>
              <x14:negativeFillColor rgb="FFFF0000"/>
              <x14:axisColor rgb="FF000000"/>
            </x14:dataBar>
          </x14:cfRule>
          <xm:sqref>J5</xm:sqref>
        </x14:conditionalFormatting>
        <x14:conditionalFormatting xmlns:xm="http://schemas.microsoft.com/office/excel/2006/main">
          <x14:cfRule type="dataBar" id="{E0864012-CA20-4567-A105-1AACDE9F576C}">
            <x14:dataBar minLength="0" maxLength="100" gradient="0">
              <x14:cfvo type="num">
                <xm:f>0</xm:f>
              </x14:cfvo>
              <x14:cfvo type="num">
                <xm:f>1</xm:f>
              </x14:cfvo>
              <x14:negativeFillColor rgb="FFFF0000"/>
              <x14:axisColor rgb="FF000000"/>
            </x14:dataBar>
          </x14:cfRule>
          <xm:sqref>J7:J27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75" zoomScaleNormal="75" workbookViewId="0"/>
  </sheetViews>
  <sheetFormatPr defaultRowHeight="14.5" x14ac:dyDescent="0.35"/>
  <sheetData>
    <row r="1" spans="1:1" ht="21" x14ac:dyDescent="0.5">
      <c r="A1" s="29" t="s">
        <v>20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7"/>
  <sheetViews>
    <sheetView zoomScale="75" zoomScaleNormal="75" workbookViewId="0"/>
  </sheetViews>
  <sheetFormatPr defaultRowHeight="14.5" x14ac:dyDescent="0.35"/>
  <cols>
    <col min="1" max="1" width="30.1796875" customWidth="1"/>
    <col min="2" max="2" width="11.81640625" customWidth="1"/>
    <col min="3" max="3" width="10.81640625" customWidth="1"/>
    <col min="4" max="4" width="11.54296875" customWidth="1"/>
  </cols>
  <sheetData>
    <row r="1" spans="1:4" ht="21" x14ac:dyDescent="0.5">
      <c r="A1" s="29" t="s">
        <v>39</v>
      </c>
    </row>
    <row r="2" spans="1:4" x14ac:dyDescent="0.35">
      <c r="B2" s="4"/>
    </row>
    <row r="3" spans="1:4" x14ac:dyDescent="0.35">
      <c r="A3" s="3"/>
      <c r="B3" s="3"/>
      <c r="C3" s="2"/>
      <c r="D3" s="3"/>
    </row>
    <row r="4" spans="1:4" x14ac:dyDescent="0.35">
      <c r="A4" s="3"/>
    </row>
    <row r="5" spans="1:4" x14ac:dyDescent="0.35">
      <c r="A5" s="3"/>
      <c r="B5" s="3"/>
      <c r="C5" s="2"/>
      <c r="D5" s="3"/>
    </row>
    <row r="6" spans="1:4" x14ac:dyDescent="0.35">
      <c r="A6" s="3"/>
      <c r="B6" s="3"/>
      <c r="C6" s="3"/>
      <c r="D6" s="2"/>
    </row>
    <row r="7" spans="1:4" x14ac:dyDescent="0.35">
      <c r="A7" s="3"/>
      <c r="B7" s="3"/>
      <c r="C7" s="3"/>
    </row>
    <row r="8" spans="1:4" x14ac:dyDescent="0.35">
      <c r="C8" s="3"/>
    </row>
    <row r="9" spans="1:4" x14ac:dyDescent="0.35">
      <c r="C9" s="3"/>
    </row>
    <row r="10" spans="1:4" x14ac:dyDescent="0.35">
      <c r="C10" s="3"/>
    </row>
    <row r="11" spans="1:4" x14ac:dyDescent="0.35">
      <c r="C11" s="3"/>
    </row>
    <row r="19" spans="1:8" x14ac:dyDescent="0.35">
      <c r="A19" s="59"/>
    </row>
    <row r="20" spans="1:8" ht="15" customHeight="1" x14ac:dyDescent="0.35">
      <c r="B20" s="11"/>
      <c r="C20" s="11"/>
      <c r="D20" s="11"/>
      <c r="E20" s="11"/>
      <c r="F20" s="11"/>
      <c r="G20" s="11"/>
      <c r="H20" s="11"/>
    </row>
    <row r="21" spans="1:8" ht="18" customHeight="1" x14ac:dyDescent="0.35">
      <c r="B21" s="183"/>
      <c r="C21" s="183"/>
      <c r="D21" s="183"/>
      <c r="E21" s="183"/>
      <c r="F21" s="183"/>
      <c r="G21" s="183"/>
      <c r="H21" s="183"/>
    </row>
    <row r="22" spans="1:8" ht="15" customHeight="1" x14ac:dyDescent="0.35">
      <c r="B22" s="184"/>
      <c r="C22" s="184"/>
      <c r="D22" s="184"/>
      <c r="E22" s="184"/>
      <c r="F22" s="184"/>
      <c r="G22" s="184"/>
      <c r="H22" s="184"/>
    </row>
    <row r="23" spans="1:8" x14ac:dyDescent="0.35">
      <c r="A23" s="11" t="s">
        <v>9</v>
      </c>
    </row>
    <row r="24" spans="1:8" x14ac:dyDescent="0.35">
      <c r="A24" s="185" t="s">
        <v>37</v>
      </c>
    </row>
    <row r="25" spans="1:8" x14ac:dyDescent="0.35">
      <c r="A25" s="186" t="s">
        <v>38</v>
      </c>
    </row>
    <row r="26" spans="1:8" x14ac:dyDescent="0.35">
      <c r="A26" s="76" t="s">
        <v>50</v>
      </c>
    </row>
    <row r="27" spans="1:8" x14ac:dyDescent="0.35">
      <c r="A27" s="59"/>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7"/>
  <sheetViews>
    <sheetView zoomScale="75" zoomScaleNormal="75" workbookViewId="0">
      <selection activeCell="R7" sqref="R7"/>
    </sheetView>
  </sheetViews>
  <sheetFormatPr defaultRowHeight="14.5" x14ac:dyDescent="0.35"/>
  <cols>
    <col min="3" max="3" width="12.54296875" customWidth="1"/>
    <col min="4" max="5" width="11.81640625" customWidth="1"/>
    <col min="6" max="6" width="12.1796875" customWidth="1"/>
  </cols>
  <sheetData>
    <row r="1" spans="1:11" ht="21" x14ac:dyDescent="0.5">
      <c r="A1" s="29" t="s">
        <v>36</v>
      </c>
    </row>
    <row r="16" spans="1:11" s="17" customFormat="1" ht="15" customHeight="1" x14ac:dyDescent="0.35">
      <c r="A16"/>
      <c r="B16"/>
      <c r="C16"/>
      <c r="D16"/>
      <c r="E16"/>
      <c r="F16"/>
      <c r="G16"/>
      <c r="H16"/>
      <c r="I16"/>
      <c r="J16"/>
      <c r="K16"/>
    </row>
    <row r="17" spans="1:11" s="17" customFormat="1" ht="17.25" customHeight="1" x14ac:dyDescent="0.35">
      <c r="A17"/>
      <c r="B17"/>
      <c r="C17"/>
      <c r="D17"/>
      <c r="E17"/>
      <c r="F17"/>
      <c r="G17"/>
      <c r="H17"/>
      <c r="I17"/>
      <c r="J17"/>
      <c r="K1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52"/>
  <sheetViews>
    <sheetView zoomScale="75" zoomScaleNormal="75" workbookViewId="0"/>
  </sheetViews>
  <sheetFormatPr defaultColWidth="8.7265625" defaultRowHeight="14.5" x14ac:dyDescent="0.35"/>
  <cols>
    <col min="1" max="1" width="33.453125" style="201" customWidth="1"/>
    <col min="2" max="10" width="13" style="201" customWidth="1"/>
    <col min="11" max="11" width="13.453125" style="201" customWidth="1"/>
    <col min="12" max="12" width="14.1796875" style="201" customWidth="1"/>
    <col min="13" max="13" width="11.26953125" style="201" customWidth="1"/>
    <col min="14" max="16384" width="8.7265625" style="201"/>
  </cols>
  <sheetData>
    <row r="1" spans="1:35" ht="21" x14ac:dyDescent="0.5">
      <c r="A1" s="208" t="s">
        <v>22</v>
      </c>
      <c r="B1" s="208"/>
      <c r="C1" s="208"/>
      <c r="D1" s="208"/>
      <c r="E1" s="208"/>
      <c r="F1" s="208"/>
      <c r="G1" s="208"/>
      <c r="H1" s="202"/>
      <c r="I1" s="202"/>
      <c r="J1" s="202"/>
      <c r="K1" s="202"/>
    </row>
    <row r="2" spans="1:35" ht="21" x14ac:dyDescent="0.5">
      <c r="A2" s="209" t="s">
        <v>308</v>
      </c>
      <c r="B2" s="208"/>
      <c r="C2" s="208"/>
      <c r="D2" s="208"/>
      <c r="E2" s="208"/>
      <c r="F2" s="208"/>
      <c r="G2" s="208"/>
      <c r="H2" s="202"/>
      <c r="I2" s="202"/>
      <c r="J2" s="202"/>
      <c r="K2" s="202"/>
    </row>
    <row r="3" spans="1:35" ht="21" x14ac:dyDescent="0.5">
      <c r="A3" s="210" t="s">
        <v>310</v>
      </c>
      <c r="B3" s="211"/>
      <c r="C3" s="211"/>
      <c r="D3" s="211"/>
      <c r="E3" s="211"/>
      <c r="F3" s="211"/>
      <c r="G3" s="211"/>
      <c r="H3" s="202"/>
      <c r="I3" s="202"/>
      <c r="J3" s="202"/>
      <c r="K3" s="202"/>
      <c r="W3" s="212"/>
      <c r="X3" s="212"/>
      <c r="Y3" s="212"/>
      <c r="Z3" s="212"/>
      <c r="AA3" s="212"/>
      <c r="AB3" s="212"/>
      <c r="AC3" s="212"/>
      <c r="AD3" s="212"/>
      <c r="AE3" s="212"/>
      <c r="AF3" s="212"/>
      <c r="AG3" s="212"/>
      <c r="AH3" s="212"/>
      <c r="AI3" s="212"/>
    </row>
    <row r="4" spans="1:35" ht="62" x14ac:dyDescent="0.35">
      <c r="A4" s="213" t="s">
        <v>632</v>
      </c>
      <c r="B4" s="214" t="s">
        <v>636</v>
      </c>
      <c r="C4" s="214" t="s">
        <v>342</v>
      </c>
      <c r="D4" s="214" t="s">
        <v>638</v>
      </c>
      <c r="E4" s="214" t="s">
        <v>58</v>
      </c>
      <c r="F4" s="214" t="s">
        <v>59</v>
      </c>
      <c r="G4" s="214" t="s">
        <v>60</v>
      </c>
      <c r="H4" s="214" t="s">
        <v>343</v>
      </c>
      <c r="I4" s="214" t="s">
        <v>344</v>
      </c>
      <c r="J4" s="214" t="s">
        <v>345</v>
      </c>
      <c r="K4" s="215"/>
      <c r="L4" s="216"/>
      <c r="M4" s="215"/>
      <c r="N4" s="215"/>
      <c r="O4" s="215"/>
      <c r="P4" s="215"/>
      <c r="Q4" s="215"/>
      <c r="Y4" s="217"/>
      <c r="Z4" s="217"/>
      <c r="AA4" s="217"/>
      <c r="AB4" s="217"/>
      <c r="AC4" s="217"/>
      <c r="AD4" s="217"/>
      <c r="AE4" s="218"/>
      <c r="AF4" s="218"/>
      <c r="AG4" s="218"/>
      <c r="AH4" s="212"/>
      <c r="AI4" s="212"/>
    </row>
    <row r="5" spans="1:35" ht="15.5" x14ac:dyDescent="0.35">
      <c r="A5" s="219" t="s">
        <v>7</v>
      </c>
      <c r="B5" s="220">
        <v>276250</v>
      </c>
      <c r="C5" s="221">
        <v>1</v>
      </c>
      <c r="D5" s="220">
        <v>268375</v>
      </c>
      <c r="E5" s="220">
        <v>179575</v>
      </c>
      <c r="F5" s="220">
        <v>80835</v>
      </c>
      <c r="G5" s="220">
        <v>7965</v>
      </c>
      <c r="H5" s="221">
        <v>0.67</v>
      </c>
      <c r="I5" s="221">
        <v>0.3</v>
      </c>
      <c r="J5" s="221">
        <v>0.03</v>
      </c>
      <c r="K5" s="215"/>
      <c r="L5" s="216"/>
      <c r="M5" s="215"/>
      <c r="N5" s="215"/>
      <c r="O5" s="215"/>
      <c r="P5" s="215"/>
      <c r="Q5" s="215"/>
      <c r="Y5" s="217"/>
      <c r="Z5" s="217"/>
      <c r="AA5" s="217"/>
      <c r="AB5" s="217"/>
      <c r="AC5" s="217"/>
      <c r="AD5" s="217"/>
      <c r="AE5" s="218"/>
      <c r="AF5" s="218"/>
      <c r="AG5" s="218"/>
      <c r="AH5" s="212"/>
      <c r="AI5" s="212"/>
    </row>
    <row r="6" spans="1:35" ht="15.5" x14ac:dyDescent="0.35">
      <c r="A6" s="222" t="s">
        <v>278</v>
      </c>
      <c r="B6" s="223">
        <v>9900</v>
      </c>
      <c r="C6" s="224">
        <v>0.04</v>
      </c>
      <c r="D6" s="223">
        <v>3365</v>
      </c>
      <c r="E6" s="223">
        <v>2730</v>
      </c>
      <c r="F6" s="223">
        <v>620</v>
      </c>
      <c r="G6" s="223">
        <v>10</v>
      </c>
      <c r="H6" s="224">
        <v>0.81</v>
      </c>
      <c r="I6" s="224">
        <v>0.18</v>
      </c>
      <c r="J6" s="224">
        <v>0</v>
      </c>
      <c r="K6" s="215"/>
      <c r="L6" s="225"/>
      <c r="M6" s="215"/>
      <c r="N6" s="215"/>
      <c r="O6" s="215"/>
      <c r="P6" s="215"/>
      <c r="Q6" s="215"/>
      <c r="Y6" s="226"/>
      <c r="Z6" s="227"/>
      <c r="AA6" s="226"/>
      <c r="AB6" s="226"/>
      <c r="AC6" s="226"/>
      <c r="AD6" s="226"/>
      <c r="AE6" s="227"/>
      <c r="AF6" s="227"/>
      <c r="AG6" s="227"/>
      <c r="AH6" s="212"/>
      <c r="AI6" s="212"/>
    </row>
    <row r="7" spans="1:35" ht="15.5" x14ac:dyDescent="0.35">
      <c r="A7" s="222" t="s">
        <v>279</v>
      </c>
      <c r="B7" s="223">
        <v>4025</v>
      </c>
      <c r="C7" s="224">
        <v>0.01</v>
      </c>
      <c r="D7" s="223">
        <v>8335</v>
      </c>
      <c r="E7" s="223">
        <v>5175</v>
      </c>
      <c r="F7" s="223">
        <v>3020</v>
      </c>
      <c r="G7" s="223">
        <v>140</v>
      </c>
      <c r="H7" s="224">
        <v>0.62</v>
      </c>
      <c r="I7" s="224">
        <v>0.36</v>
      </c>
      <c r="J7" s="224">
        <v>0.02</v>
      </c>
      <c r="K7" s="215"/>
      <c r="L7" s="225"/>
      <c r="M7" s="215"/>
      <c r="N7" s="215"/>
      <c r="O7" s="215"/>
      <c r="P7" s="215"/>
      <c r="Q7" s="215"/>
      <c r="Y7" s="228"/>
      <c r="Z7" s="229"/>
      <c r="AA7" s="226"/>
      <c r="AB7" s="230"/>
      <c r="AC7" s="230"/>
      <c r="AD7" s="231"/>
      <c r="AE7" s="229"/>
      <c r="AF7" s="229"/>
      <c r="AG7" s="229"/>
      <c r="AH7" s="212"/>
      <c r="AI7" s="212"/>
    </row>
    <row r="8" spans="1:35" ht="15.5" x14ac:dyDescent="0.35">
      <c r="A8" s="222" t="s">
        <v>280</v>
      </c>
      <c r="B8" s="223">
        <v>2585</v>
      </c>
      <c r="C8" s="224">
        <v>0.01</v>
      </c>
      <c r="D8" s="223">
        <v>3210</v>
      </c>
      <c r="E8" s="223">
        <v>1865</v>
      </c>
      <c r="F8" s="223">
        <v>1240</v>
      </c>
      <c r="G8" s="223">
        <v>105</v>
      </c>
      <c r="H8" s="224">
        <v>0.57999999999999996</v>
      </c>
      <c r="I8" s="224">
        <v>0.39</v>
      </c>
      <c r="J8" s="224">
        <v>0.03</v>
      </c>
      <c r="K8" s="215"/>
      <c r="L8" s="225"/>
      <c r="M8" s="215"/>
      <c r="N8" s="215"/>
      <c r="O8" s="215"/>
      <c r="P8" s="215"/>
      <c r="Q8" s="215"/>
      <c r="Y8" s="228"/>
      <c r="Z8" s="229"/>
      <c r="AA8" s="226"/>
      <c r="AB8" s="230"/>
      <c r="AC8" s="230"/>
      <c r="AD8" s="231"/>
      <c r="AE8" s="229"/>
      <c r="AF8" s="229"/>
      <c r="AG8" s="229"/>
      <c r="AH8" s="212"/>
      <c r="AI8" s="212"/>
    </row>
    <row r="9" spans="1:35" ht="15.5" x14ac:dyDescent="0.35">
      <c r="A9" s="222" t="s">
        <v>283</v>
      </c>
      <c r="B9" s="223">
        <v>2970</v>
      </c>
      <c r="C9" s="224">
        <v>0.01</v>
      </c>
      <c r="D9" s="223">
        <v>3025</v>
      </c>
      <c r="E9" s="223">
        <v>1735</v>
      </c>
      <c r="F9" s="223">
        <v>1195</v>
      </c>
      <c r="G9" s="223">
        <v>95</v>
      </c>
      <c r="H9" s="224">
        <v>0.56999999999999995</v>
      </c>
      <c r="I9" s="224">
        <v>0.4</v>
      </c>
      <c r="J9" s="224">
        <v>0.03</v>
      </c>
      <c r="K9" s="215"/>
      <c r="L9" s="225"/>
      <c r="M9" s="215"/>
      <c r="N9" s="215"/>
      <c r="O9" s="215"/>
      <c r="P9" s="215"/>
      <c r="Q9" s="215"/>
      <c r="Y9" s="228"/>
      <c r="Z9" s="229"/>
      <c r="AA9" s="226"/>
      <c r="AB9" s="230"/>
      <c r="AC9" s="230"/>
      <c r="AD9" s="231"/>
      <c r="AE9" s="229"/>
      <c r="AF9" s="229"/>
      <c r="AG9" s="229"/>
      <c r="AH9" s="212"/>
      <c r="AI9" s="212"/>
    </row>
    <row r="10" spans="1:35" ht="15.5" x14ac:dyDescent="0.35">
      <c r="A10" s="222" t="s">
        <v>284</v>
      </c>
      <c r="B10" s="223">
        <v>8650</v>
      </c>
      <c r="C10" s="224">
        <v>0.03</v>
      </c>
      <c r="D10" s="223">
        <v>3890</v>
      </c>
      <c r="E10" s="223">
        <v>2250</v>
      </c>
      <c r="F10" s="223">
        <v>1385</v>
      </c>
      <c r="G10" s="223">
        <v>260</v>
      </c>
      <c r="H10" s="224">
        <v>0.57999999999999996</v>
      </c>
      <c r="I10" s="224">
        <v>0.36</v>
      </c>
      <c r="J10" s="224">
        <v>7.0000000000000007E-2</v>
      </c>
      <c r="K10" s="215"/>
      <c r="L10" s="225"/>
      <c r="M10" s="215"/>
      <c r="N10" s="215"/>
      <c r="O10" s="215"/>
      <c r="P10" s="215"/>
      <c r="Q10" s="215"/>
      <c r="Y10" s="228"/>
      <c r="Z10" s="229"/>
      <c r="AA10" s="226"/>
      <c r="AB10" s="230"/>
      <c r="AC10" s="230"/>
      <c r="AD10" s="231"/>
      <c r="AE10" s="229"/>
      <c r="AF10" s="229"/>
      <c r="AG10" s="229"/>
      <c r="AH10" s="212"/>
      <c r="AI10" s="212"/>
    </row>
    <row r="11" spans="1:35" ht="15.5" x14ac:dyDescent="0.35">
      <c r="A11" s="222" t="s">
        <v>285</v>
      </c>
      <c r="B11" s="223">
        <v>18610</v>
      </c>
      <c r="C11" s="224">
        <v>7.0000000000000007E-2</v>
      </c>
      <c r="D11" s="223">
        <v>21280</v>
      </c>
      <c r="E11" s="223">
        <v>13550</v>
      </c>
      <c r="F11" s="223">
        <v>6985</v>
      </c>
      <c r="G11" s="223">
        <v>745</v>
      </c>
      <c r="H11" s="224">
        <v>0.64</v>
      </c>
      <c r="I11" s="224">
        <v>0.33</v>
      </c>
      <c r="J11" s="224">
        <v>0.04</v>
      </c>
      <c r="K11" s="215"/>
      <c r="L11" s="225"/>
      <c r="M11" s="215"/>
      <c r="N11" s="215"/>
      <c r="O11" s="215"/>
      <c r="P11" s="215"/>
      <c r="Q11" s="215"/>
      <c r="Y11" s="228"/>
      <c r="Z11" s="229"/>
      <c r="AA11" s="226"/>
      <c r="AB11" s="230"/>
      <c r="AC11" s="230"/>
      <c r="AD11" s="231"/>
      <c r="AE11" s="229"/>
      <c r="AF11" s="229"/>
      <c r="AG11" s="229"/>
      <c r="AH11" s="212"/>
      <c r="AI11" s="212"/>
    </row>
    <row r="12" spans="1:35" ht="15.5" x14ac:dyDescent="0.35">
      <c r="A12" s="222" t="s">
        <v>286</v>
      </c>
      <c r="B12" s="223">
        <v>24930</v>
      </c>
      <c r="C12" s="224">
        <v>0.09</v>
      </c>
      <c r="D12" s="223">
        <v>20725</v>
      </c>
      <c r="E12" s="223">
        <v>15210</v>
      </c>
      <c r="F12" s="223">
        <v>4770</v>
      </c>
      <c r="G12" s="223">
        <v>745</v>
      </c>
      <c r="H12" s="224">
        <v>0.73</v>
      </c>
      <c r="I12" s="224">
        <v>0.23</v>
      </c>
      <c r="J12" s="224">
        <v>0.04</v>
      </c>
      <c r="K12" s="215"/>
      <c r="L12" s="225"/>
      <c r="M12" s="215"/>
      <c r="N12" s="215"/>
      <c r="O12" s="215"/>
      <c r="P12" s="215"/>
      <c r="Q12" s="215"/>
      <c r="Y12" s="228"/>
      <c r="Z12" s="229"/>
      <c r="AA12" s="226"/>
      <c r="AB12" s="230"/>
      <c r="AC12" s="230"/>
      <c r="AD12" s="231"/>
      <c r="AE12" s="229"/>
      <c r="AF12" s="229"/>
      <c r="AG12" s="229"/>
      <c r="AH12" s="212"/>
      <c r="AI12" s="212"/>
    </row>
    <row r="13" spans="1:35" ht="15.5" x14ac:dyDescent="0.35">
      <c r="A13" s="222" t="s">
        <v>287</v>
      </c>
      <c r="B13" s="223">
        <v>7730</v>
      </c>
      <c r="C13" s="224">
        <v>0.03</v>
      </c>
      <c r="D13" s="223">
        <v>13280</v>
      </c>
      <c r="E13" s="223">
        <v>8820</v>
      </c>
      <c r="F13" s="223">
        <v>3770</v>
      </c>
      <c r="G13" s="223">
        <v>690</v>
      </c>
      <c r="H13" s="224">
        <v>0.66</v>
      </c>
      <c r="I13" s="224">
        <v>0.28000000000000003</v>
      </c>
      <c r="J13" s="224">
        <v>0.05</v>
      </c>
      <c r="K13" s="215"/>
      <c r="L13" s="225"/>
      <c r="M13" s="215"/>
      <c r="N13" s="215"/>
      <c r="O13" s="215"/>
      <c r="P13" s="215"/>
      <c r="Q13" s="215"/>
      <c r="Y13" s="228"/>
      <c r="Z13" s="229"/>
      <c r="AA13" s="226"/>
      <c r="AB13" s="230"/>
      <c r="AC13" s="230"/>
      <c r="AD13" s="231"/>
      <c r="AE13" s="229"/>
      <c r="AF13" s="229"/>
      <c r="AG13" s="229"/>
      <c r="AH13" s="212"/>
      <c r="AI13" s="212"/>
    </row>
    <row r="14" spans="1:35" ht="15.5" x14ac:dyDescent="0.35">
      <c r="A14" s="222" t="s">
        <v>288</v>
      </c>
      <c r="B14" s="223">
        <v>10220</v>
      </c>
      <c r="C14" s="224">
        <v>0.04</v>
      </c>
      <c r="D14" s="223">
        <v>7580</v>
      </c>
      <c r="E14" s="223">
        <v>5375</v>
      </c>
      <c r="F14" s="223">
        <v>1900</v>
      </c>
      <c r="G14" s="223">
        <v>305</v>
      </c>
      <c r="H14" s="224">
        <v>0.71</v>
      </c>
      <c r="I14" s="224">
        <v>0.25</v>
      </c>
      <c r="J14" s="224">
        <v>0.04</v>
      </c>
      <c r="K14" s="215"/>
      <c r="L14" s="225"/>
      <c r="M14" s="215"/>
      <c r="N14" s="215"/>
      <c r="O14" s="215"/>
      <c r="P14" s="215"/>
      <c r="Q14" s="215"/>
      <c r="Y14" s="228"/>
      <c r="Z14" s="229"/>
      <c r="AA14" s="226"/>
      <c r="AB14" s="230"/>
      <c r="AC14" s="230"/>
      <c r="AD14" s="231"/>
      <c r="AE14" s="229"/>
      <c r="AF14" s="229"/>
      <c r="AG14" s="229"/>
      <c r="AH14" s="212"/>
      <c r="AI14" s="212"/>
    </row>
    <row r="15" spans="1:35" ht="15.5" x14ac:dyDescent="0.35">
      <c r="A15" s="222" t="s">
        <v>289</v>
      </c>
      <c r="B15" s="223">
        <v>7035</v>
      </c>
      <c r="C15" s="224">
        <v>0.03</v>
      </c>
      <c r="D15" s="223">
        <v>6655</v>
      </c>
      <c r="E15" s="223">
        <v>4630</v>
      </c>
      <c r="F15" s="223">
        <v>1690</v>
      </c>
      <c r="G15" s="223">
        <v>335</v>
      </c>
      <c r="H15" s="224">
        <v>0.7</v>
      </c>
      <c r="I15" s="224">
        <v>0.25</v>
      </c>
      <c r="J15" s="224">
        <v>0.05</v>
      </c>
      <c r="K15" s="215"/>
      <c r="L15" s="225"/>
      <c r="M15" s="215"/>
      <c r="N15" s="215"/>
      <c r="O15" s="215"/>
      <c r="P15" s="215"/>
      <c r="Q15" s="215"/>
      <c r="Y15" s="228"/>
      <c r="Z15" s="229"/>
      <c r="AA15" s="226"/>
      <c r="AB15" s="230"/>
      <c r="AC15" s="230"/>
      <c r="AD15" s="231"/>
      <c r="AE15" s="229"/>
      <c r="AF15" s="229"/>
      <c r="AG15" s="229"/>
      <c r="AH15" s="212"/>
      <c r="AI15" s="212"/>
    </row>
    <row r="16" spans="1:35" ht="15.5" x14ac:dyDescent="0.35">
      <c r="A16" s="222" t="s">
        <v>290</v>
      </c>
      <c r="B16" s="223">
        <v>7740</v>
      </c>
      <c r="C16" s="224">
        <v>0.03</v>
      </c>
      <c r="D16" s="223">
        <v>6995</v>
      </c>
      <c r="E16" s="223">
        <v>4800</v>
      </c>
      <c r="F16" s="223">
        <v>1735</v>
      </c>
      <c r="G16" s="223">
        <v>460</v>
      </c>
      <c r="H16" s="224">
        <v>0.69</v>
      </c>
      <c r="I16" s="224">
        <v>0.25</v>
      </c>
      <c r="J16" s="224">
        <v>7.0000000000000007E-2</v>
      </c>
      <c r="K16" s="215"/>
      <c r="L16" s="225"/>
      <c r="M16" s="215"/>
      <c r="N16" s="215"/>
      <c r="O16" s="215"/>
      <c r="P16" s="215"/>
      <c r="Q16" s="215"/>
      <c r="Y16" s="228"/>
      <c r="Z16" s="229"/>
      <c r="AA16" s="226"/>
      <c r="AB16" s="230"/>
      <c r="AC16" s="230"/>
      <c r="AD16" s="231"/>
      <c r="AE16" s="229"/>
      <c r="AF16" s="229"/>
      <c r="AG16" s="229"/>
      <c r="AH16" s="212"/>
      <c r="AI16" s="212"/>
    </row>
    <row r="17" spans="1:35" ht="15.5" x14ac:dyDescent="0.35">
      <c r="A17" s="222" t="s">
        <v>291</v>
      </c>
      <c r="B17" s="223">
        <v>11470</v>
      </c>
      <c r="C17" s="224">
        <v>0.04</v>
      </c>
      <c r="D17" s="223">
        <v>8250</v>
      </c>
      <c r="E17" s="223">
        <v>5140</v>
      </c>
      <c r="F17" s="223">
        <v>2725</v>
      </c>
      <c r="G17" s="223">
        <v>385</v>
      </c>
      <c r="H17" s="224">
        <v>0.62</v>
      </c>
      <c r="I17" s="224">
        <v>0.33</v>
      </c>
      <c r="J17" s="224">
        <v>0.05</v>
      </c>
      <c r="K17" s="215"/>
      <c r="L17" s="225"/>
      <c r="M17" s="215"/>
      <c r="N17" s="215"/>
      <c r="O17" s="215"/>
      <c r="P17" s="215"/>
      <c r="Q17" s="215"/>
      <c r="Y17" s="228"/>
      <c r="Z17" s="229"/>
      <c r="AA17" s="226"/>
      <c r="AB17" s="230"/>
      <c r="AC17" s="230"/>
      <c r="AD17" s="231"/>
      <c r="AE17" s="229"/>
      <c r="AF17" s="229"/>
      <c r="AG17" s="229"/>
      <c r="AH17" s="212"/>
      <c r="AI17" s="212"/>
    </row>
    <row r="18" spans="1:35" s="233" customFormat="1" ht="15.65" customHeight="1" x14ac:dyDescent="0.35">
      <c r="A18" s="222" t="s">
        <v>292</v>
      </c>
      <c r="B18" s="223">
        <v>4875</v>
      </c>
      <c r="C18" s="224">
        <v>0.02</v>
      </c>
      <c r="D18" s="223">
        <v>6695</v>
      </c>
      <c r="E18" s="223">
        <v>4490</v>
      </c>
      <c r="F18" s="223">
        <v>1845</v>
      </c>
      <c r="G18" s="223">
        <v>360</v>
      </c>
      <c r="H18" s="224">
        <v>0.67</v>
      </c>
      <c r="I18" s="224">
        <v>0.28000000000000003</v>
      </c>
      <c r="J18" s="224">
        <v>0.05</v>
      </c>
      <c r="K18" s="232"/>
      <c r="L18" s="232"/>
      <c r="M18" s="232"/>
      <c r="N18" s="232"/>
      <c r="O18" s="232"/>
      <c r="P18" s="232"/>
      <c r="Q18" s="232"/>
      <c r="W18" s="201"/>
      <c r="X18" s="201"/>
      <c r="Y18" s="234"/>
      <c r="Z18" s="234"/>
      <c r="AA18" s="234"/>
      <c r="AB18" s="234"/>
      <c r="AC18" s="234"/>
      <c r="AD18" s="234"/>
      <c r="AE18" s="234"/>
      <c r="AF18" s="234"/>
      <c r="AG18" s="234"/>
      <c r="AH18" s="234"/>
      <c r="AI18" s="234"/>
    </row>
    <row r="19" spans="1:35" s="233" customFormat="1" ht="17.149999999999999" customHeight="1" x14ac:dyDescent="0.35">
      <c r="A19" s="235" t="s">
        <v>293</v>
      </c>
      <c r="B19" s="223">
        <v>7380</v>
      </c>
      <c r="C19" s="224">
        <v>0.03</v>
      </c>
      <c r="D19" s="223">
        <v>7890</v>
      </c>
      <c r="E19" s="223">
        <v>5170</v>
      </c>
      <c r="F19" s="223">
        <v>2240</v>
      </c>
      <c r="G19" s="223">
        <v>475</v>
      </c>
      <c r="H19" s="224">
        <v>0.66</v>
      </c>
      <c r="I19" s="224">
        <v>0.28000000000000003</v>
      </c>
      <c r="J19" s="224">
        <v>0.06</v>
      </c>
      <c r="K19" s="232"/>
      <c r="L19" s="232"/>
      <c r="M19" s="232"/>
      <c r="N19" s="232"/>
      <c r="O19" s="232"/>
      <c r="P19" s="232"/>
      <c r="Q19" s="232"/>
      <c r="W19" s="201"/>
      <c r="X19" s="201"/>
      <c r="Y19" s="234"/>
      <c r="Z19" s="234"/>
      <c r="AA19" s="234"/>
      <c r="AB19" s="234"/>
      <c r="AC19" s="234"/>
      <c r="AD19" s="234"/>
      <c r="AE19" s="234"/>
      <c r="AF19" s="234"/>
      <c r="AG19" s="234"/>
      <c r="AH19" s="234"/>
      <c r="AI19" s="234"/>
    </row>
    <row r="20" spans="1:35" s="233" customFormat="1" ht="16" customHeight="1" x14ac:dyDescent="0.35">
      <c r="A20" s="235" t="s">
        <v>281</v>
      </c>
      <c r="B20" s="223">
        <v>13760</v>
      </c>
      <c r="C20" s="224">
        <v>0.05</v>
      </c>
      <c r="D20" s="223">
        <v>7965</v>
      </c>
      <c r="E20" s="223">
        <v>5320</v>
      </c>
      <c r="F20" s="223">
        <v>2310</v>
      </c>
      <c r="G20" s="223">
        <v>340</v>
      </c>
      <c r="H20" s="224">
        <v>0.67</v>
      </c>
      <c r="I20" s="224">
        <v>0.28999999999999998</v>
      </c>
      <c r="J20" s="224">
        <v>0.04</v>
      </c>
      <c r="K20" s="236"/>
      <c r="L20" s="232"/>
      <c r="M20" s="232"/>
      <c r="N20" s="232"/>
      <c r="O20" s="232"/>
      <c r="P20" s="232"/>
      <c r="Q20" s="232"/>
      <c r="W20" s="201"/>
      <c r="X20" s="201"/>
      <c r="Y20" s="234"/>
      <c r="Z20" s="234"/>
      <c r="AA20" s="234"/>
      <c r="AB20" s="234"/>
      <c r="AC20" s="234"/>
      <c r="AD20" s="234"/>
      <c r="AE20" s="234"/>
      <c r="AF20" s="234"/>
      <c r="AG20" s="234"/>
      <c r="AH20" s="234"/>
      <c r="AI20" s="234"/>
    </row>
    <row r="21" spans="1:35" s="233" customFormat="1" ht="15.5" x14ac:dyDescent="0.35">
      <c r="A21" s="235" t="s">
        <v>294</v>
      </c>
      <c r="B21" s="223">
        <v>5670</v>
      </c>
      <c r="C21" s="224">
        <v>0.02</v>
      </c>
      <c r="D21" s="223">
        <v>9490</v>
      </c>
      <c r="E21" s="223">
        <v>5350</v>
      </c>
      <c r="F21" s="223">
        <v>4020</v>
      </c>
      <c r="G21" s="223">
        <v>120</v>
      </c>
      <c r="H21" s="224">
        <v>0.56000000000000005</v>
      </c>
      <c r="I21" s="224">
        <v>0.42</v>
      </c>
      <c r="J21" s="224">
        <v>0.01</v>
      </c>
      <c r="K21" s="232"/>
      <c r="L21" s="232"/>
      <c r="M21" s="232"/>
      <c r="N21" s="232"/>
      <c r="O21" s="232"/>
      <c r="P21" s="232"/>
      <c r="Q21" s="232"/>
      <c r="W21" s="201"/>
      <c r="X21" s="201"/>
      <c r="Y21" s="234"/>
      <c r="Z21" s="234"/>
      <c r="AA21" s="234"/>
      <c r="AB21" s="234"/>
      <c r="AC21" s="234"/>
      <c r="AD21" s="234"/>
      <c r="AE21" s="234"/>
      <c r="AF21" s="234"/>
      <c r="AG21" s="234"/>
      <c r="AH21" s="234"/>
      <c r="AI21" s="234"/>
    </row>
    <row r="22" spans="1:35" s="233" customFormat="1" ht="15.5" x14ac:dyDescent="0.35">
      <c r="A22" s="235" t="s">
        <v>295</v>
      </c>
      <c r="B22" s="223">
        <v>5735</v>
      </c>
      <c r="C22" s="224">
        <v>0.02</v>
      </c>
      <c r="D22" s="223">
        <v>6155</v>
      </c>
      <c r="E22" s="223">
        <v>3800</v>
      </c>
      <c r="F22" s="223">
        <v>2290</v>
      </c>
      <c r="G22" s="223">
        <v>70</v>
      </c>
      <c r="H22" s="224">
        <v>0.62</v>
      </c>
      <c r="I22" s="224">
        <v>0.37</v>
      </c>
      <c r="J22" s="224">
        <v>0.01</v>
      </c>
      <c r="K22" s="232"/>
      <c r="L22" s="232"/>
      <c r="M22" s="232"/>
      <c r="N22" s="232"/>
      <c r="O22" s="232"/>
      <c r="P22" s="232"/>
      <c r="Q22" s="232"/>
      <c r="W22" s="201"/>
      <c r="X22" s="201"/>
      <c r="Y22" s="234"/>
      <c r="Z22" s="234"/>
      <c r="AA22" s="234"/>
      <c r="AB22" s="234"/>
      <c r="AC22" s="234"/>
      <c r="AD22" s="234"/>
      <c r="AE22" s="234"/>
      <c r="AF22" s="234"/>
      <c r="AG22" s="234"/>
      <c r="AH22" s="234"/>
      <c r="AI22" s="234"/>
    </row>
    <row r="23" spans="1:35" ht="15.5" x14ac:dyDescent="0.35">
      <c r="A23" s="235" t="s">
        <v>296</v>
      </c>
      <c r="B23" s="223">
        <v>6830</v>
      </c>
      <c r="C23" s="224">
        <v>0.02</v>
      </c>
      <c r="D23" s="223">
        <v>6310</v>
      </c>
      <c r="E23" s="223">
        <v>3955</v>
      </c>
      <c r="F23" s="223">
        <v>2275</v>
      </c>
      <c r="G23" s="223">
        <v>80</v>
      </c>
      <c r="H23" s="224">
        <v>0.63</v>
      </c>
      <c r="I23" s="224">
        <v>0.36</v>
      </c>
      <c r="J23" s="224">
        <v>0.01</v>
      </c>
      <c r="K23" s="215"/>
      <c r="L23" s="215"/>
      <c r="M23" s="215"/>
      <c r="N23" s="215"/>
      <c r="O23" s="215"/>
      <c r="P23" s="215"/>
      <c r="Q23" s="215"/>
    </row>
    <row r="24" spans="1:35" ht="15.5" x14ac:dyDescent="0.35">
      <c r="A24" s="235" t="s">
        <v>297</v>
      </c>
      <c r="B24" s="223">
        <v>25575</v>
      </c>
      <c r="C24" s="224">
        <v>0.09</v>
      </c>
      <c r="D24" s="223">
        <v>10930</v>
      </c>
      <c r="E24" s="223">
        <v>8595</v>
      </c>
      <c r="F24" s="223">
        <v>2175</v>
      </c>
      <c r="G24" s="223">
        <v>155</v>
      </c>
      <c r="H24" s="224">
        <v>0.79</v>
      </c>
      <c r="I24" s="224">
        <v>0.2</v>
      </c>
      <c r="J24" s="224">
        <v>0.01</v>
      </c>
      <c r="K24" s="215"/>
      <c r="L24" s="215"/>
      <c r="M24" s="215"/>
      <c r="N24" s="215"/>
      <c r="O24" s="215"/>
      <c r="P24" s="215"/>
      <c r="Q24" s="215"/>
    </row>
    <row r="25" spans="1:35" ht="15.5" x14ac:dyDescent="0.35">
      <c r="A25" s="235" t="s">
        <v>298</v>
      </c>
      <c r="B25" s="223">
        <v>8765</v>
      </c>
      <c r="C25" s="224">
        <v>0.03</v>
      </c>
      <c r="D25" s="223">
        <v>16595</v>
      </c>
      <c r="E25" s="223">
        <v>13460</v>
      </c>
      <c r="F25" s="223">
        <v>2955</v>
      </c>
      <c r="G25" s="223">
        <v>180</v>
      </c>
      <c r="H25" s="224">
        <v>0.81</v>
      </c>
      <c r="I25" s="224">
        <v>0.18</v>
      </c>
      <c r="J25" s="224">
        <v>0.01</v>
      </c>
      <c r="K25" s="215"/>
      <c r="L25" s="215"/>
      <c r="M25" s="215"/>
      <c r="N25" s="215"/>
      <c r="O25" s="215"/>
      <c r="P25" s="215"/>
      <c r="Q25" s="215"/>
    </row>
    <row r="26" spans="1:35" ht="15.5" x14ac:dyDescent="0.35">
      <c r="A26" s="235" t="s">
        <v>299</v>
      </c>
      <c r="B26" s="223">
        <v>9805</v>
      </c>
      <c r="C26" s="224">
        <v>0.04</v>
      </c>
      <c r="D26" s="223">
        <v>11340</v>
      </c>
      <c r="E26" s="223">
        <v>8495</v>
      </c>
      <c r="F26" s="223">
        <v>2725</v>
      </c>
      <c r="G26" s="223">
        <v>120</v>
      </c>
      <c r="H26" s="224">
        <v>0.75</v>
      </c>
      <c r="I26" s="224">
        <v>0.24</v>
      </c>
      <c r="J26" s="224">
        <v>0.01</v>
      </c>
      <c r="K26" s="215"/>
      <c r="L26" s="215"/>
      <c r="M26" s="215"/>
      <c r="N26" s="215"/>
      <c r="O26" s="215"/>
      <c r="P26" s="215"/>
      <c r="Q26" s="215"/>
    </row>
    <row r="27" spans="1:35" ht="15.5" x14ac:dyDescent="0.35">
      <c r="A27" s="235" t="s">
        <v>300</v>
      </c>
      <c r="B27" s="223">
        <v>7975</v>
      </c>
      <c r="C27" s="224">
        <v>0.03</v>
      </c>
      <c r="D27" s="223">
        <v>12985</v>
      </c>
      <c r="E27" s="223">
        <v>8885</v>
      </c>
      <c r="F27" s="223">
        <v>3870</v>
      </c>
      <c r="G27" s="223">
        <v>235</v>
      </c>
      <c r="H27" s="224">
        <v>0.68</v>
      </c>
      <c r="I27" s="224">
        <v>0.3</v>
      </c>
      <c r="J27" s="224">
        <v>0.02</v>
      </c>
      <c r="K27" s="215"/>
      <c r="L27" s="215"/>
      <c r="M27" s="215"/>
      <c r="N27" s="215"/>
      <c r="O27" s="215"/>
      <c r="P27" s="215"/>
      <c r="Q27" s="215"/>
    </row>
    <row r="28" spans="1:35" ht="15.5" x14ac:dyDescent="0.35">
      <c r="A28" s="235" t="s">
        <v>301</v>
      </c>
      <c r="B28" s="223">
        <v>5185</v>
      </c>
      <c r="C28" s="224">
        <v>0.02</v>
      </c>
      <c r="D28" s="223">
        <v>7265</v>
      </c>
      <c r="E28" s="223">
        <v>5200</v>
      </c>
      <c r="F28" s="223">
        <v>1935</v>
      </c>
      <c r="G28" s="223">
        <v>135</v>
      </c>
      <c r="H28" s="224">
        <v>0.72</v>
      </c>
      <c r="I28" s="224">
        <v>0.27</v>
      </c>
      <c r="J28" s="224">
        <v>0.02</v>
      </c>
      <c r="K28" s="215"/>
      <c r="L28" s="215"/>
      <c r="M28" s="215"/>
      <c r="N28" s="215"/>
      <c r="O28" s="215"/>
      <c r="P28" s="215"/>
      <c r="Q28" s="215"/>
    </row>
    <row r="29" spans="1:35" ht="15.5" x14ac:dyDescent="0.35">
      <c r="A29" s="235" t="s">
        <v>302</v>
      </c>
      <c r="B29" s="223">
        <v>13605</v>
      </c>
      <c r="C29" s="224">
        <v>0.05</v>
      </c>
      <c r="D29" s="223">
        <v>6530</v>
      </c>
      <c r="E29" s="223">
        <v>4035</v>
      </c>
      <c r="F29" s="223">
        <v>2215</v>
      </c>
      <c r="G29" s="223">
        <v>280</v>
      </c>
      <c r="H29" s="224">
        <v>0.62</v>
      </c>
      <c r="I29" s="224">
        <v>0.34</v>
      </c>
      <c r="J29" s="224">
        <v>0.04</v>
      </c>
      <c r="K29" s="215"/>
      <c r="L29" s="215"/>
      <c r="M29" s="215"/>
      <c r="N29" s="215"/>
      <c r="O29" s="215"/>
      <c r="P29" s="215"/>
      <c r="Q29" s="215"/>
    </row>
    <row r="30" spans="1:35" ht="15.5" x14ac:dyDescent="0.35">
      <c r="A30" s="235" t="s">
        <v>303</v>
      </c>
      <c r="B30" s="223">
        <v>5980</v>
      </c>
      <c r="C30" s="224">
        <v>0.02</v>
      </c>
      <c r="D30" s="223">
        <v>8085</v>
      </c>
      <c r="E30" s="223">
        <v>4755</v>
      </c>
      <c r="F30" s="223">
        <v>3160</v>
      </c>
      <c r="G30" s="223">
        <v>170</v>
      </c>
      <c r="H30" s="224">
        <v>0.59</v>
      </c>
      <c r="I30" s="224">
        <v>0.39</v>
      </c>
      <c r="J30" s="224">
        <v>0.02</v>
      </c>
      <c r="K30" s="215"/>
      <c r="L30" s="215"/>
      <c r="M30" s="215"/>
      <c r="N30" s="215"/>
      <c r="O30" s="215"/>
      <c r="P30" s="215"/>
      <c r="Q30" s="215"/>
    </row>
    <row r="31" spans="1:35" ht="15.5" x14ac:dyDescent="0.35">
      <c r="A31" s="235" t="s">
        <v>304</v>
      </c>
      <c r="B31" s="223">
        <v>10070</v>
      </c>
      <c r="C31" s="224">
        <v>0.04</v>
      </c>
      <c r="D31" s="223">
        <v>6975</v>
      </c>
      <c r="E31" s="223">
        <v>4545</v>
      </c>
      <c r="F31" s="223">
        <v>2280</v>
      </c>
      <c r="G31" s="223">
        <v>155</v>
      </c>
      <c r="H31" s="224">
        <v>0.65</v>
      </c>
      <c r="I31" s="224">
        <v>0.33</v>
      </c>
      <c r="J31" s="224">
        <v>0.02</v>
      </c>
      <c r="K31" s="215"/>
      <c r="L31" s="215"/>
      <c r="M31" s="215"/>
      <c r="N31" s="215"/>
      <c r="O31" s="215"/>
      <c r="P31" s="215"/>
      <c r="Q31" s="215"/>
    </row>
    <row r="32" spans="1:35" ht="15.5" x14ac:dyDescent="0.35">
      <c r="A32" s="235" t="s">
        <v>282</v>
      </c>
      <c r="B32" s="223">
        <v>13500</v>
      </c>
      <c r="C32" s="224">
        <v>0.05</v>
      </c>
      <c r="D32" s="223">
        <v>9290</v>
      </c>
      <c r="E32" s="223">
        <v>5465</v>
      </c>
      <c r="F32" s="223">
        <v>3600</v>
      </c>
      <c r="G32" s="223">
        <v>225</v>
      </c>
      <c r="H32" s="224">
        <v>0.59</v>
      </c>
      <c r="I32" s="224">
        <v>0.39</v>
      </c>
      <c r="J32" s="224">
        <v>0.02</v>
      </c>
      <c r="K32" s="215"/>
      <c r="L32" s="215"/>
      <c r="M32" s="215"/>
      <c r="N32" s="215"/>
      <c r="O32" s="215"/>
      <c r="P32" s="215"/>
      <c r="Q32" s="215"/>
    </row>
    <row r="33" spans="1:10" ht="15.5" x14ac:dyDescent="0.35">
      <c r="A33" s="235" t="s">
        <v>305</v>
      </c>
      <c r="B33" s="223">
        <v>5510</v>
      </c>
      <c r="C33" s="224">
        <v>0.02</v>
      </c>
      <c r="D33" s="223">
        <v>10040</v>
      </c>
      <c r="E33" s="223">
        <v>5790</v>
      </c>
      <c r="F33" s="223">
        <v>4010</v>
      </c>
      <c r="G33" s="223">
        <v>235</v>
      </c>
      <c r="H33" s="224">
        <v>0.57999999999999996</v>
      </c>
      <c r="I33" s="224">
        <v>0.4</v>
      </c>
      <c r="J33" s="224">
        <v>0.02</v>
      </c>
    </row>
    <row r="34" spans="1:10" ht="15.5" x14ac:dyDescent="0.35">
      <c r="A34" s="235" t="s">
        <v>306</v>
      </c>
      <c r="B34" s="223">
        <v>4730</v>
      </c>
      <c r="C34" s="224">
        <v>0.02</v>
      </c>
      <c r="D34" s="223">
        <v>9410</v>
      </c>
      <c r="E34" s="223">
        <v>5760</v>
      </c>
      <c r="F34" s="223">
        <v>3450</v>
      </c>
      <c r="G34" s="223">
        <v>200</v>
      </c>
      <c r="H34" s="224">
        <v>0.61</v>
      </c>
      <c r="I34" s="224">
        <v>0.37</v>
      </c>
      <c r="J34" s="224">
        <v>0.02</v>
      </c>
    </row>
    <row r="35" spans="1:10" ht="16" thickBot="1" x14ac:dyDescent="0.4">
      <c r="A35" s="237" t="s">
        <v>307</v>
      </c>
      <c r="B35" s="238">
        <v>5425</v>
      </c>
      <c r="C35" s="239">
        <v>0.02</v>
      </c>
      <c r="D35" s="238">
        <v>7835</v>
      </c>
      <c r="E35" s="238">
        <v>5230</v>
      </c>
      <c r="F35" s="238">
        <v>2445</v>
      </c>
      <c r="G35" s="238">
        <v>160</v>
      </c>
      <c r="H35" s="239">
        <v>0.67</v>
      </c>
      <c r="I35" s="239">
        <v>0.31</v>
      </c>
      <c r="J35" s="239">
        <v>0.02</v>
      </c>
    </row>
    <row r="36" spans="1:10" ht="15.5" x14ac:dyDescent="0.35">
      <c r="A36" s="240" t="s">
        <v>316</v>
      </c>
      <c r="B36" s="223">
        <v>19480</v>
      </c>
      <c r="C36" s="241">
        <v>7.0000000000000007E-2</v>
      </c>
      <c r="D36" s="223">
        <v>17935</v>
      </c>
      <c r="E36" s="223">
        <v>11505</v>
      </c>
      <c r="F36" s="223">
        <v>6080</v>
      </c>
      <c r="G36" s="223">
        <v>350</v>
      </c>
      <c r="H36" s="224">
        <v>0.64</v>
      </c>
      <c r="I36" s="224">
        <v>0.34</v>
      </c>
      <c r="J36" s="224">
        <v>0.02</v>
      </c>
    </row>
    <row r="37" spans="1:10" ht="15.5" x14ac:dyDescent="0.35">
      <c r="A37" s="240" t="s">
        <v>317</v>
      </c>
      <c r="B37" s="223">
        <v>128070</v>
      </c>
      <c r="C37" s="224">
        <v>0.46</v>
      </c>
      <c r="D37" s="223">
        <v>120690</v>
      </c>
      <c r="E37" s="223">
        <v>80100</v>
      </c>
      <c r="F37" s="223">
        <v>35375</v>
      </c>
      <c r="G37" s="223">
        <v>5215</v>
      </c>
      <c r="H37" s="224">
        <v>0.66</v>
      </c>
      <c r="I37" s="224">
        <v>0.28999999999999998</v>
      </c>
      <c r="J37" s="224">
        <v>0.04</v>
      </c>
    </row>
    <row r="38" spans="1:10" ht="15.5" x14ac:dyDescent="0.35">
      <c r="A38" s="240" t="s">
        <v>318</v>
      </c>
      <c r="B38" s="223">
        <v>118545</v>
      </c>
      <c r="C38" s="224">
        <v>0.43</v>
      </c>
      <c r="D38" s="223">
        <v>112505</v>
      </c>
      <c r="E38" s="223">
        <v>76980</v>
      </c>
      <c r="F38" s="223">
        <v>33490</v>
      </c>
      <c r="G38" s="223">
        <v>2040</v>
      </c>
      <c r="H38" s="224">
        <v>0.68</v>
      </c>
      <c r="I38" s="224">
        <v>0.3</v>
      </c>
      <c r="J38" s="224">
        <v>0.02</v>
      </c>
    </row>
    <row r="39" spans="1:10" ht="15.5" x14ac:dyDescent="0.35">
      <c r="A39" s="240" t="s">
        <v>319</v>
      </c>
      <c r="B39" s="223">
        <v>10155</v>
      </c>
      <c r="C39" s="224">
        <v>0.04</v>
      </c>
      <c r="D39" s="223">
        <v>17250</v>
      </c>
      <c r="E39" s="223">
        <v>10990</v>
      </c>
      <c r="F39" s="223">
        <v>5895</v>
      </c>
      <c r="G39" s="223">
        <v>360</v>
      </c>
      <c r="H39" s="224">
        <v>0.64</v>
      </c>
      <c r="I39" s="224">
        <v>0.34</v>
      </c>
      <c r="J39" s="224">
        <v>0.02</v>
      </c>
    </row>
    <row r="40" spans="1:10" ht="21.65" customHeight="1" x14ac:dyDescent="0.35">
      <c r="A40" s="232" t="s">
        <v>9</v>
      </c>
      <c r="B40" s="232"/>
      <c r="C40" s="232"/>
      <c r="D40" s="232"/>
      <c r="E40" s="232"/>
      <c r="F40" s="232"/>
      <c r="G40" s="232"/>
      <c r="H40" s="232"/>
      <c r="I40" s="232"/>
      <c r="J40" s="232"/>
    </row>
    <row r="41" spans="1:10" ht="16" customHeight="1" x14ac:dyDescent="0.35">
      <c r="A41" s="215" t="s">
        <v>633</v>
      </c>
      <c r="B41" s="232"/>
      <c r="C41" s="232"/>
      <c r="D41" s="232"/>
      <c r="E41" s="232"/>
      <c r="F41" s="232"/>
      <c r="G41" s="232"/>
      <c r="H41" s="232"/>
      <c r="I41" s="232"/>
      <c r="J41" s="232"/>
    </row>
    <row r="42" spans="1:10" ht="15.5" x14ac:dyDescent="0.35">
      <c r="A42" s="215" t="s">
        <v>634</v>
      </c>
      <c r="B42" s="232"/>
      <c r="C42" s="232"/>
      <c r="D42" s="232"/>
      <c r="E42" s="232"/>
      <c r="F42" s="232"/>
      <c r="G42" s="232"/>
      <c r="H42" s="232"/>
      <c r="I42" s="232"/>
      <c r="J42" s="232"/>
    </row>
    <row r="43" spans="1:10" ht="17.5" customHeight="1" x14ac:dyDescent="0.35">
      <c r="A43" s="215" t="s">
        <v>649</v>
      </c>
      <c r="B43" s="232"/>
      <c r="C43" s="232"/>
      <c r="D43" s="232"/>
      <c r="E43" s="232"/>
      <c r="F43" s="232"/>
      <c r="G43" s="232"/>
      <c r="H43" s="232"/>
      <c r="I43" s="232"/>
      <c r="J43" s="232"/>
    </row>
    <row r="44" spans="1:10" ht="15.5" x14ac:dyDescent="0.35">
      <c r="A44" s="215" t="s">
        <v>635</v>
      </c>
      <c r="B44" s="232"/>
      <c r="C44" s="232"/>
      <c r="D44" s="232"/>
      <c r="E44" s="232"/>
      <c r="F44" s="232"/>
      <c r="G44" s="232"/>
      <c r="H44" s="232"/>
      <c r="I44" s="232"/>
      <c r="J44" s="232"/>
    </row>
    <row r="45" spans="1:10" ht="15.5" x14ac:dyDescent="0.35">
      <c r="A45" s="242" t="s">
        <v>637</v>
      </c>
      <c r="B45" s="236"/>
      <c r="C45" s="236"/>
      <c r="D45" s="236"/>
      <c r="E45" s="236"/>
      <c r="F45" s="236"/>
      <c r="G45" s="236"/>
      <c r="H45" s="236"/>
      <c r="I45" s="236"/>
      <c r="J45" s="236"/>
    </row>
    <row r="46" spans="1:10" ht="15.5" x14ac:dyDescent="0.35">
      <c r="A46" s="242" t="s">
        <v>639</v>
      </c>
      <c r="B46" s="232"/>
      <c r="C46" s="232"/>
      <c r="D46" s="232"/>
      <c r="E46" s="232"/>
      <c r="F46" s="232"/>
      <c r="G46" s="232"/>
      <c r="H46" s="232"/>
      <c r="I46" s="232"/>
      <c r="J46" s="232"/>
    </row>
    <row r="47" spans="1:10" ht="15.5" x14ac:dyDescent="0.35">
      <c r="A47" s="232" t="s">
        <v>640</v>
      </c>
      <c r="B47" s="232"/>
      <c r="C47" s="232"/>
      <c r="D47" s="232"/>
      <c r="E47" s="232"/>
      <c r="F47" s="232"/>
      <c r="G47" s="232"/>
      <c r="H47" s="232"/>
      <c r="I47" s="232"/>
      <c r="J47" s="232"/>
    </row>
    <row r="48" spans="1:10" ht="15.5" x14ac:dyDescent="0.35">
      <c r="A48" s="232" t="s">
        <v>641</v>
      </c>
      <c r="B48" s="215"/>
      <c r="C48" s="215"/>
      <c r="D48" s="215"/>
      <c r="E48" s="215"/>
      <c r="F48" s="215"/>
      <c r="G48" s="215"/>
      <c r="H48" s="215"/>
      <c r="I48" s="215"/>
      <c r="J48" s="215"/>
    </row>
    <row r="49" spans="1:10" ht="15.5" x14ac:dyDescent="0.35">
      <c r="A49" s="242" t="s">
        <v>642</v>
      </c>
      <c r="B49" s="215"/>
      <c r="C49" s="215"/>
      <c r="D49" s="215"/>
      <c r="E49" s="215"/>
      <c r="F49" s="215"/>
      <c r="G49" s="215"/>
      <c r="H49" s="215"/>
      <c r="I49" s="215"/>
      <c r="J49" s="215"/>
    </row>
    <row r="50" spans="1:10" ht="15.5" x14ac:dyDescent="0.35">
      <c r="B50" s="215"/>
      <c r="C50" s="215"/>
      <c r="D50" s="215"/>
      <c r="E50" s="215"/>
      <c r="F50" s="215"/>
      <c r="G50" s="215"/>
      <c r="H50" s="215"/>
      <c r="I50" s="215"/>
      <c r="J50" s="215"/>
    </row>
    <row r="51" spans="1:10" ht="15.5" x14ac:dyDescent="0.35">
      <c r="B51" s="215"/>
      <c r="C51" s="215"/>
      <c r="D51" s="215"/>
      <c r="E51" s="215"/>
      <c r="F51" s="215"/>
      <c r="G51" s="215"/>
      <c r="H51" s="215"/>
      <c r="I51" s="215"/>
      <c r="J51" s="215"/>
    </row>
    <row r="52" spans="1:10" ht="15.5" x14ac:dyDescent="0.35">
      <c r="B52" s="215"/>
      <c r="C52" s="215"/>
      <c r="D52" s="215"/>
      <c r="E52" s="215"/>
      <c r="F52" s="215"/>
      <c r="G52" s="215"/>
      <c r="H52" s="215"/>
      <c r="I52" s="215"/>
      <c r="J52" s="215"/>
    </row>
  </sheetData>
  <conditionalFormatting sqref="AE6:AG17">
    <cfRule type="dataBar" priority="6">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Z6:Z17">
    <cfRule type="dataBar" priority="5">
      <dataBar>
        <cfvo type="num" val="0"/>
        <cfvo type="num" val="1"/>
        <color theme="4" tint="-0.249977111117893"/>
      </dataBar>
      <extLst>
        <ext xmlns:x14="http://schemas.microsoft.com/office/spreadsheetml/2009/9/main" uri="{B025F937-C7B1-47D3-B67F-A62EFF666E3E}">
          <x14:id>{BEE8A180-06C5-4FEA-B9D3-C4775401E198}</x14:id>
        </ext>
      </extLst>
    </cfRule>
  </conditionalFormatting>
  <conditionalFormatting sqref="J5:J39">
    <cfRule type="dataBar" priority="1">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C5:C39">
    <cfRule type="dataBar" priority="4">
      <dataBar>
        <cfvo type="num" val="0"/>
        <cfvo type="num" val="1"/>
        <color rgb="FFB4A9D4"/>
      </dataBar>
      <extLst>
        <ext xmlns:x14="http://schemas.microsoft.com/office/spreadsheetml/2009/9/main" uri="{B025F937-C7B1-47D3-B67F-A62EFF666E3E}">
          <x14:id>{353E7874-FAEA-49C6-8480-1C552EC60E0A}</x14:id>
        </ext>
      </extLst>
    </cfRule>
  </conditionalFormatting>
  <conditionalFormatting sqref="H5:H39">
    <cfRule type="dataBar" priority="3">
      <dataBar>
        <cfvo type="num" val="0"/>
        <cfvo type="num" val="1"/>
        <color rgb="FFB4A9D4"/>
      </dataBar>
      <extLst>
        <ext xmlns:x14="http://schemas.microsoft.com/office/spreadsheetml/2009/9/main" uri="{B025F937-C7B1-47D3-B67F-A62EFF666E3E}">
          <x14:id>{FB88801F-3EC4-4A08-953C-FBB99A77F041}</x14:id>
        </ext>
      </extLst>
    </cfRule>
  </conditionalFormatting>
  <conditionalFormatting sqref="I5:I39">
    <cfRule type="dataBar" priority="2">
      <dataBar>
        <cfvo type="num" val="0"/>
        <cfvo type="num" val="1"/>
        <color rgb="FFB4A9D4"/>
      </dataBar>
      <extLst>
        <ext xmlns:x14="http://schemas.microsoft.com/office/spreadsheetml/2009/9/main" uri="{B025F937-C7B1-47D3-B67F-A62EFF666E3E}">
          <x14:id>{F00B3DC5-D32C-45FA-AE08-BCF88824BCB6}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AE6:AG17</xm:sqref>
        </x14:conditionalFormatting>
        <x14:conditionalFormatting xmlns:xm="http://schemas.microsoft.com/office/excel/2006/main">
          <x14:cfRule type="dataBar" id="{BEE8A180-06C5-4FEA-B9D3-C4775401E198}">
            <x14:dataBar minLength="0" maxLength="100" border="1">
              <x14:cfvo type="num">
                <xm:f>0</xm:f>
              </x14:cfvo>
              <x14:cfvo type="num">
                <xm:f>1</xm:f>
              </x14:cfvo>
              <x14:borderColor theme="8" tint="0.39997558519241921"/>
              <x14:negativeFillColor rgb="FFFF0000"/>
              <x14:axisColor rgb="FF000000"/>
            </x14:dataBar>
          </x14:cfRule>
          <xm:sqref>Z6:Z17</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J5:J39</xm:sqref>
        </x14:conditionalFormatting>
        <x14:conditionalFormatting xmlns:xm="http://schemas.microsoft.com/office/excel/2006/main">
          <x14:cfRule type="dataBar" id="{353E7874-FAEA-49C6-8480-1C552EC60E0A}">
            <x14:dataBar minLength="0" maxLength="100" gradient="0">
              <x14:cfvo type="num">
                <xm:f>0</xm:f>
              </x14:cfvo>
              <x14:cfvo type="num">
                <xm:f>1</xm:f>
              </x14:cfvo>
              <x14:negativeFillColor rgb="FFFF0000"/>
              <x14:axisColor rgb="FF000000"/>
            </x14:dataBar>
          </x14:cfRule>
          <xm:sqref>C5:C39</xm:sqref>
        </x14:conditionalFormatting>
        <x14:conditionalFormatting xmlns:xm="http://schemas.microsoft.com/office/excel/2006/main">
          <x14:cfRule type="dataBar" id="{FB88801F-3EC4-4A08-953C-FBB99A77F041}">
            <x14:dataBar minLength="0" maxLength="100" gradient="0">
              <x14:cfvo type="num">
                <xm:f>0</xm:f>
              </x14:cfvo>
              <x14:cfvo type="num">
                <xm:f>1</xm:f>
              </x14:cfvo>
              <x14:negativeFillColor rgb="FFFF0000"/>
              <x14:axisColor rgb="FF000000"/>
            </x14:dataBar>
          </x14:cfRule>
          <xm:sqref>H5:H39</xm:sqref>
        </x14:conditionalFormatting>
        <x14:conditionalFormatting xmlns:xm="http://schemas.microsoft.com/office/excel/2006/main">
          <x14:cfRule type="dataBar" id="{F00B3DC5-D32C-45FA-AE08-BCF88824BCB6}">
            <x14:dataBar minLength="0" maxLength="100" gradient="0">
              <x14:cfvo type="num">
                <xm:f>0</xm:f>
              </x14:cfvo>
              <x14:cfvo type="num">
                <xm:f>1</xm:f>
              </x14:cfvo>
              <x14:negativeFillColor rgb="FFFF0000"/>
              <x14:axisColor rgb="FF000000"/>
            </x14:dataBar>
          </x14:cfRule>
          <xm:sqref>I5:I39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1"/>
  <sheetViews>
    <sheetView zoomScale="75" zoomScaleNormal="75" workbookViewId="0"/>
  </sheetViews>
  <sheetFormatPr defaultRowHeight="14.5" x14ac:dyDescent="0.35"/>
  <cols>
    <col min="1" max="1" width="41" customWidth="1"/>
    <col min="2" max="11" width="16.26953125" customWidth="1"/>
  </cols>
  <sheetData>
    <row r="1" spans="1:11" ht="64.5" customHeight="1" x14ac:dyDescent="0.35">
      <c r="A1" s="107" t="s">
        <v>487</v>
      </c>
      <c r="B1" s="108" t="s">
        <v>57</v>
      </c>
      <c r="C1" s="108" t="s">
        <v>342</v>
      </c>
      <c r="D1" s="108" t="s">
        <v>65</v>
      </c>
      <c r="E1" s="108" t="s">
        <v>23</v>
      </c>
      <c r="F1" s="108" t="s">
        <v>488</v>
      </c>
      <c r="G1" s="108" t="s">
        <v>489</v>
      </c>
      <c r="H1" s="108" t="s">
        <v>490</v>
      </c>
      <c r="I1" s="108" t="s">
        <v>343</v>
      </c>
      <c r="J1" s="108" t="s">
        <v>344</v>
      </c>
      <c r="K1" s="108" t="s">
        <v>345</v>
      </c>
    </row>
    <row r="2" spans="1:11" x14ac:dyDescent="0.35">
      <c r="A2" t="s">
        <v>504</v>
      </c>
      <c r="B2">
        <v>0</v>
      </c>
      <c r="C2">
        <v>0</v>
      </c>
      <c r="D2">
        <v>0</v>
      </c>
      <c r="E2">
        <v>0</v>
      </c>
      <c r="F2">
        <v>0</v>
      </c>
      <c r="G2">
        <v>0</v>
      </c>
      <c r="H2">
        <v>0</v>
      </c>
      <c r="I2">
        <v>0</v>
      </c>
      <c r="J2">
        <v>0</v>
      </c>
      <c r="K2">
        <v>0</v>
      </c>
    </row>
    <row r="3" spans="1:11" x14ac:dyDescent="0.35">
      <c r="A3" t="s">
        <v>491</v>
      </c>
      <c r="B3">
        <v>54660</v>
      </c>
      <c r="C3">
        <v>0.43</v>
      </c>
      <c r="D3">
        <v>47285</v>
      </c>
      <c r="E3">
        <v>0.39</v>
      </c>
      <c r="F3">
        <v>30425</v>
      </c>
      <c r="G3">
        <v>14690</v>
      </c>
      <c r="H3">
        <v>2170</v>
      </c>
      <c r="I3">
        <v>0.64</v>
      </c>
      <c r="J3">
        <v>0.31</v>
      </c>
      <c r="K3">
        <v>0.05</v>
      </c>
    </row>
    <row r="4" spans="1:11" x14ac:dyDescent="0.35">
      <c r="A4" t="s">
        <v>492</v>
      </c>
      <c r="B4">
        <v>76945</v>
      </c>
      <c r="C4">
        <v>0.65</v>
      </c>
      <c r="D4">
        <v>73295</v>
      </c>
      <c r="E4">
        <v>0.65</v>
      </c>
      <c r="F4">
        <v>46430</v>
      </c>
      <c r="G4">
        <v>25550</v>
      </c>
      <c r="H4">
        <v>1315</v>
      </c>
      <c r="I4">
        <v>0.63</v>
      </c>
      <c r="J4">
        <v>0.35</v>
      </c>
      <c r="K4">
        <v>0.02</v>
      </c>
    </row>
    <row r="5" spans="1:11" x14ac:dyDescent="0.35">
      <c r="A5" t="s">
        <v>493</v>
      </c>
      <c r="B5">
        <v>8175</v>
      </c>
      <c r="C5">
        <v>0.81</v>
      </c>
      <c r="D5">
        <v>13020</v>
      </c>
      <c r="E5">
        <v>0.75</v>
      </c>
      <c r="F5">
        <v>8635</v>
      </c>
      <c r="G5">
        <v>4130</v>
      </c>
      <c r="H5">
        <v>255</v>
      </c>
      <c r="I5">
        <v>0.66</v>
      </c>
      <c r="J5">
        <v>0.32</v>
      </c>
      <c r="K5">
        <v>0.02</v>
      </c>
    </row>
    <row r="6" spans="1:11" x14ac:dyDescent="0.35">
      <c r="A6" t="s">
        <v>494</v>
      </c>
      <c r="B6">
        <v>139785</v>
      </c>
      <c r="C6">
        <v>0.51</v>
      </c>
      <c r="D6">
        <v>133610</v>
      </c>
      <c r="E6">
        <v>0.5</v>
      </c>
      <c r="F6">
        <v>85490</v>
      </c>
      <c r="G6">
        <v>44375</v>
      </c>
      <c r="H6">
        <v>3745</v>
      </c>
      <c r="I6">
        <v>0.64</v>
      </c>
      <c r="J6">
        <v>0.33</v>
      </c>
      <c r="K6">
        <v>0.03</v>
      </c>
    </row>
    <row r="7" spans="1:11" x14ac:dyDescent="0.35">
      <c r="A7" t="s">
        <v>505</v>
      </c>
      <c r="B7">
        <v>0</v>
      </c>
      <c r="C7">
        <v>0</v>
      </c>
      <c r="D7">
        <v>0</v>
      </c>
      <c r="E7">
        <v>0</v>
      </c>
      <c r="F7">
        <v>0</v>
      </c>
      <c r="G7">
        <v>0</v>
      </c>
      <c r="H7">
        <v>0</v>
      </c>
      <c r="I7">
        <v>0</v>
      </c>
      <c r="J7">
        <v>0</v>
      </c>
      <c r="K7">
        <v>0</v>
      </c>
    </row>
    <row r="8" spans="1:11" x14ac:dyDescent="0.35">
      <c r="A8" t="s">
        <v>506</v>
      </c>
      <c r="B8">
        <v>49305</v>
      </c>
      <c r="C8">
        <v>0.38</v>
      </c>
      <c r="D8">
        <v>46600</v>
      </c>
      <c r="E8">
        <v>0.39</v>
      </c>
      <c r="F8">
        <v>31075</v>
      </c>
      <c r="G8">
        <v>13930</v>
      </c>
      <c r="H8">
        <v>1595</v>
      </c>
      <c r="I8">
        <v>0.67</v>
      </c>
      <c r="J8">
        <v>0.3</v>
      </c>
      <c r="K8">
        <v>0.03</v>
      </c>
    </row>
    <row r="9" spans="1:11" x14ac:dyDescent="0.35">
      <c r="A9" t="s">
        <v>507</v>
      </c>
      <c r="B9">
        <v>38465</v>
      </c>
      <c r="C9">
        <v>0.32</v>
      </c>
      <c r="D9">
        <v>36360</v>
      </c>
      <c r="E9">
        <v>0.32</v>
      </c>
      <c r="F9">
        <v>20410</v>
      </c>
      <c r="G9">
        <v>15335</v>
      </c>
      <c r="H9">
        <v>620</v>
      </c>
      <c r="I9">
        <v>0.56000000000000005</v>
      </c>
      <c r="J9">
        <v>0.42</v>
      </c>
      <c r="K9">
        <v>0.02</v>
      </c>
    </row>
    <row r="10" spans="1:11" x14ac:dyDescent="0.35">
      <c r="A10" t="s">
        <v>508</v>
      </c>
      <c r="B10">
        <v>3570</v>
      </c>
      <c r="C10">
        <v>0.35</v>
      </c>
      <c r="D10">
        <v>6045</v>
      </c>
      <c r="E10">
        <v>0.35</v>
      </c>
      <c r="F10">
        <v>3510</v>
      </c>
      <c r="G10">
        <v>2430</v>
      </c>
      <c r="H10">
        <v>110</v>
      </c>
      <c r="I10">
        <v>0.57999999999999996</v>
      </c>
      <c r="J10">
        <v>0.4</v>
      </c>
      <c r="K10">
        <v>0.02</v>
      </c>
    </row>
    <row r="11" spans="1:11" x14ac:dyDescent="0.35">
      <c r="A11" t="s">
        <v>509</v>
      </c>
      <c r="B11">
        <v>91340</v>
      </c>
      <c r="C11">
        <v>0.33</v>
      </c>
      <c r="D11">
        <v>89010</v>
      </c>
      <c r="E11">
        <v>0.33</v>
      </c>
      <c r="F11">
        <v>54995</v>
      </c>
      <c r="G11">
        <v>31690</v>
      </c>
      <c r="H11">
        <v>2325</v>
      </c>
      <c r="I11">
        <v>0.62</v>
      </c>
      <c r="J11">
        <v>0.36</v>
      </c>
      <c r="K11">
        <v>0.03</v>
      </c>
    </row>
    <row r="12" spans="1:11" x14ac:dyDescent="0.35">
      <c r="A12" t="s">
        <v>495</v>
      </c>
      <c r="B12">
        <v>18775</v>
      </c>
      <c r="C12">
        <v>0.96</v>
      </c>
      <c r="D12">
        <v>17535</v>
      </c>
      <c r="E12">
        <v>0.98</v>
      </c>
      <c r="F12">
        <v>11320</v>
      </c>
      <c r="G12">
        <v>5995</v>
      </c>
      <c r="H12">
        <v>225</v>
      </c>
      <c r="I12">
        <v>0.65</v>
      </c>
      <c r="J12">
        <v>0.34</v>
      </c>
      <c r="K12">
        <v>0.01</v>
      </c>
    </row>
    <row r="13" spans="1:11" x14ac:dyDescent="0.35">
      <c r="A13" t="s">
        <v>496</v>
      </c>
      <c r="B13">
        <v>35235</v>
      </c>
      <c r="C13">
        <v>0.28000000000000003</v>
      </c>
      <c r="D13">
        <v>32765</v>
      </c>
      <c r="E13">
        <v>0.27</v>
      </c>
      <c r="F13">
        <v>15490</v>
      </c>
      <c r="G13">
        <v>15310</v>
      </c>
      <c r="H13">
        <v>1970</v>
      </c>
      <c r="I13">
        <v>0.47</v>
      </c>
      <c r="J13">
        <v>0.47</v>
      </c>
      <c r="K13">
        <v>0.06</v>
      </c>
    </row>
    <row r="14" spans="1:11" x14ac:dyDescent="0.35">
      <c r="A14" t="s">
        <v>497</v>
      </c>
      <c r="B14">
        <v>34075</v>
      </c>
      <c r="C14">
        <v>0.28999999999999998</v>
      </c>
      <c r="D14">
        <v>32530</v>
      </c>
      <c r="E14">
        <v>0.28999999999999998</v>
      </c>
      <c r="F14">
        <v>16360</v>
      </c>
      <c r="G14">
        <v>15560</v>
      </c>
      <c r="H14">
        <v>610</v>
      </c>
      <c r="I14">
        <v>0.5</v>
      </c>
      <c r="J14">
        <v>0.48</v>
      </c>
      <c r="K14">
        <v>0.02</v>
      </c>
    </row>
    <row r="15" spans="1:11" x14ac:dyDescent="0.35">
      <c r="A15" t="s">
        <v>498</v>
      </c>
      <c r="B15">
        <v>4725</v>
      </c>
      <c r="C15">
        <v>0.47</v>
      </c>
      <c r="D15">
        <v>6675</v>
      </c>
      <c r="E15">
        <v>0.39</v>
      </c>
      <c r="F15">
        <v>3490</v>
      </c>
      <c r="G15">
        <v>3090</v>
      </c>
      <c r="H15">
        <v>90</v>
      </c>
      <c r="I15">
        <v>0.52</v>
      </c>
      <c r="J15">
        <v>0.46</v>
      </c>
      <c r="K15">
        <v>0.01</v>
      </c>
    </row>
    <row r="16" spans="1:11" x14ac:dyDescent="0.35">
      <c r="A16" t="s">
        <v>499</v>
      </c>
      <c r="B16">
        <v>92810</v>
      </c>
      <c r="C16">
        <v>0.34</v>
      </c>
      <c r="D16">
        <v>89505</v>
      </c>
      <c r="E16">
        <v>0.33</v>
      </c>
      <c r="F16">
        <v>46660</v>
      </c>
      <c r="G16">
        <v>39955</v>
      </c>
      <c r="H16">
        <v>2890</v>
      </c>
      <c r="I16">
        <v>0.52</v>
      </c>
      <c r="J16">
        <v>0.45</v>
      </c>
      <c r="K16">
        <v>0.03</v>
      </c>
    </row>
    <row r="17" spans="1:11" x14ac:dyDescent="0.35">
      <c r="A17" t="s">
        <v>510</v>
      </c>
      <c r="B17">
        <v>0</v>
      </c>
      <c r="C17">
        <v>0</v>
      </c>
      <c r="D17">
        <v>0</v>
      </c>
      <c r="E17">
        <v>0</v>
      </c>
      <c r="F17">
        <v>0</v>
      </c>
      <c r="G17">
        <v>0</v>
      </c>
      <c r="H17">
        <v>0</v>
      </c>
      <c r="I17">
        <v>0</v>
      </c>
      <c r="J17">
        <v>0</v>
      </c>
      <c r="K17">
        <v>0</v>
      </c>
    </row>
    <row r="18" spans="1:11" x14ac:dyDescent="0.35">
      <c r="A18" t="s">
        <v>500</v>
      </c>
      <c r="B18">
        <v>27285</v>
      </c>
      <c r="C18">
        <v>0.21</v>
      </c>
      <c r="D18">
        <v>26515</v>
      </c>
      <c r="E18">
        <v>0.22</v>
      </c>
      <c r="F18">
        <v>18155</v>
      </c>
      <c r="G18">
        <v>7570</v>
      </c>
      <c r="H18">
        <v>785</v>
      </c>
      <c r="I18">
        <v>0.68</v>
      </c>
      <c r="J18">
        <v>0.28999999999999998</v>
      </c>
      <c r="K18">
        <v>0.03</v>
      </c>
    </row>
    <row r="19" spans="1:11" x14ac:dyDescent="0.35">
      <c r="A19" t="s">
        <v>501</v>
      </c>
      <c r="B19">
        <v>33155</v>
      </c>
      <c r="C19">
        <v>0.28000000000000003</v>
      </c>
      <c r="D19">
        <v>32080</v>
      </c>
      <c r="E19">
        <v>0.28999999999999998</v>
      </c>
      <c r="F19">
        <v>21555</v>
      </c>
      <c r="G19">
        <v>10165</v>
      </c>
      <c r="H19">
        <v>360</v>
      </c>
      <c r="I19">
        <v>0.67</v>
      </c>
      <c r="J19">
        <v>0.32</v>
      </c>
      <c r="K19">
        <v>0.01</v>
      </c>
    </row>
    <row r="20" spans="1:11" x14ac:dyDescent="0.35">
      <c r="A20" t="s">
        <v>502</v>
      </c>
      <c r="B20">
        <v>0</v>
      </c>
      <c r="C20">
        <v>0</v>
      </c>
      <c r="D20">
        <v>1260</v>
      </c>
      <c r="E20">
        <v>7.0000000000000007E-2</v>
      </c>
      <c r="F20">
        <v>355</v>
      </c>
      <c r="G20">
        <v>875</v>
      </c>
      <c r="H20">
        <v>30</v>
      </c>
      <c r="I20">
        <v>0.28000000000000003</v>
      </c>
      <c r="J20">
        <v>0.69</v>
      </c>
      <c r="K20">
        <v>0.02</v>
      </c>
    </row>
    <row r="21" spans="1:11" x14ac:dyDescent="0.35">
      <c r="A21" t="s">
        <v>503</v>
      </c>
      <c r="B21">
        <v>60435</v>
      </c>
      <c r="C21">
        <v>0.22</v>
      </c>
      <c r="D21">
        <v>59860</v>
      </c>
      <c r="E21">
        <v>0.22</v>
      </c>
      <c r="F21">
        <v>40070</v>
      </c>
      <c r="G21">
        <v>18615</v>
      </c>
      <c r="H21">
        <v>1175</v>
      </c>
      <c r="I21">
        <v>0.67</v>
      </c>
      <c r="J21">
        <v>0.31</v>
      </c>
      <c r="K21">
        <v>0.02</v>
      </c>
    </row>
    <row r="22" spans="1:11" x14ac:dyDescent="0.35">
      <c r="A22" t="s">
        <v>216</v>
      </c>
      <c r="B22">
        <v>19480</v>
      </c>
      <c r="C22">
        <v>1</v>
      </c>
      <c r="D22">
        <v>17935</v>
      </c>
      <c r="E22">
        <v>1</v>
      </c>
      <c r="F22">
        <v>11505</v>
      </c>
      <c r="G22">
        <v>6080</v>
      </c>
      <c r="H22">
        <v>350</v>
      </c>
      <c r="I22">
        <v>0.64</v>
      </c>
      <c r="J22">
        <v>0.34</v>
      </c>
      <c r="K22">
        <v>0.02</v>
      </c>
    </row>
    <row r="23" spans="1:11" x14ac:dyDescent="0.35">
      <c r="A23" t="s">
        <v>217</v>
      </c>
      <c r="B23">
        <v>128070</v>
      </c>
      <c r="C23">
        <v>1</v>
      </c>
      <c r="D23">
        <v>120690</v>
      </c>
      <c r="E23">
        <v>1</v>
      </c>
      <c r="F23">
        <v>80100</v>
      </c>
      <c r="G23">
        <v>35375</v>
      </c>
      <c r="H23">
        <v>5215</v>
      </c>
      <c r="I23">
        <v>0.66</v>
      </c>
      <c r="J23">
        <v>0.28999999999999998</v>
      </c>
      <c r="K23">
        <v>0.04</v>
      </c>
    </row>
    <row r="24" spans="1:11" x14ac:dyDescent="0.35">
      <c r="A24" t="s">
        <v>218</v>
      </c>
      <c r="B24">
        <v>118545</v>
      </c>
      <c r="C24">
        <v>1</v>
      </c>
      <c r="D24">
        <v>112505</v>
      </c>
      <c r="E24">
        <v>1</v>
      </c>
      <c r="F24">
        <v>76980</v>
      </c>
      <c r="G24">
        <v>33490</v>
      </c>
      <c r="H24">
        <v>2040</v>
      </c>
      <c r="I24">
        <v>0.68</v>
      </c>
      <c r="J24">
        <v>0.3</v>
      </c>
      <c r="K24">
        <v>0.02</v>
      </c>
    </row>
    <row r="25" spans="1:11" x14ac:dyDescent="0.35">
      <c r="A25" t="s">
        <v>219</v>
      </c>
      <c r="B25">
        <v>10155</v>
      </c>
      <c r="C25">
        <v>1</v>
      </c>
      <c r="D25">
        <v>17250</v>
      </c>
      <c r="E25">
        <v>1</v>
      </c>
      <c r="F25">
        <v>10990</v>
      </c>
      <c r="G25">
        <v>5895</v>
      </c>
      <c r="H25">
        <v>360</v>
      </c>
      <c r="I25">
        <v>0.64</v>
      </c>
      <c r="J25">
        <v>0.34</v>
      </c>
      <c r="K25">
        <v>0.02</v>
      </c>
    </row>
    <row r="26" spans="1:11" x14ac:dyDescent="0.35">
      <c r="A26" t="s">
        <v>273</v>
      </c>
      <c r="B26">
        <v>276250</v>
      </c>
      <c r="C26">
        <v>1</v>
      </c>
      <c r="D26">
        <v>268375</v>
      </c>
      <c r="E26">
        <v>1</v>
      </c>
      <c r="F26">
        <v>179575</v>
      </c>
      <c r="G26">
        <v>80835</v>
      </c>
      <c r="H26">
        <v>7965</v>
      </c>
      <c r="I26">
        <v>0.67</v>
      </c>
      <c r="J26">
        <v>0.3</v>
      </c>
      <c r="K26">
        <v>0.03</v>
      </c>
    </row>
    <row r="27" spans="1:11" x14ac:dyDescent="0.35">
      <c r="A27" t="s">
        <v>414</v>
      </c>
      <c r="B27">
        <v>705</v>
      </c>
      <c r="C27">
        <v>0.04</v>
      </c>
      <c r="D27">
        <v>400</v>
      </c>
      <c r="E27">
        <v>0.02</v>
      </c>
      <c r="F27">
        <v>20</v>
      </c>
      <c r="G27">
        <v>250</v>
      </c>
      <c r="H27">
        <v>130</v>
      </c>
      <c r="I27">
        <v>0.05</v>
      </c>
      <c r="J27">
        <v>0.63</v>
      </c>
      <c r="K27">
        <v>0.32</v>
      </c>
    </row>
    <row r="28" spans="1:11" x14ac:dyDescent="0.35">
      <c r="A28" t="s">
        <v>415</v>
      </c>
      <c r="B28">
        <v>16065</v>
      </c>
      <c r="C28">
        <v>0.13</v>
      </c>
      <c r="D28">
        <v>15535</v>
      </c>
      <c r="E28">
        <v>0.13</v>
      </c>
      <c r="F28">
        <v>260</v>
      </c>
      <c r="G28">
        <v>14380</v>
      </c>
      <c r="H28">
        <v>895</v>
      </c>
      <c r="I28">
        <v>0.02</v>
      </c>
      <c r="J28">
        <v>0.93</v>
      </c>
      <c r="K28">
        <v>0.06</v>
      </c>
    </row>
    <row r="29" spans="1:11" x14ac:dyDescent="0.35">
      <c r="A29" t="s">
        <v>416</v>
      </c>
      <c r="B29">
        <v>14285</v>
      </c>
      <c r="C29">
        <v>0.12</v>
      </c>
      <c r="D29">
        <v>12830</v>
      </c>
      <c r="E29">
        <v>0.11</v>
      </c>
      <c r="F29">
        <v>1090</v>
      </c>
      <c r="G29">
        <v>11410</v>
      </c>
      <c r="H29">
        <v>330</v>
      </c>
      <c r="I29">
        <v>0.08</v>
      </c>
      <c r="J29">
        <v>0.89</v>
      </c>
      <c r="K29">
        <v>0.03</v>
      </c>
    </row>
    <row r="30" spans="1:11" x14ac:dyDescent="0.35">
      <c r="A30" t="s">
        <v>417</v>
      </c>
      <c r="B30">
        <v>1640</v>
      </c>
      <c r="C30">
        <v>0.16</v>
      </c>
      <c r="D30">
        <v>2715</v>
      </c>
      <c r="E30">
        <v>0.16</v>
      </c>
      <c r="F30">
        <v>170</v>
      </c>
      <c r="G30">
        <v>2480</v>
      </c>
      <c r="H30">
        <v>65</v>
      </c>
      <c r="I30">
        <v>0.06</v>
      </c>
      <c r="J30">
        <v>0.91</v>
      </c>
      <c r="K30">
        <v>0.02</v>
      </c>
    </row>
    <row r="31" spans="1:11" x14ac:dyDescent="0.35">
      <c r="A31" t="s">
        <v>418</v>
      </c>
      <c r="B31">
        <v>32700</v>
      </c>
      <c r="C31">
        <v>0.12</v>
      </c>
      <c r="D31">
        <v>31475</v>
      </c>
      <c r="E31">
        <v>0.12</v>
      </c>
      <c r="F31">
        <v>1540</v>
      </c>
      <c r="G31">
        <v>28520</v>
      </c>
      <c r="H31">
        <v>1415</v>
      </c>
      <c r="I31">
        <v>0.05</v>
      </c>
      <c r="J31">
        <v>0.91</v>
      </c>
      <c r="K31">
        <v>0.04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6"/>
  <sheetViews>
    <sheetView zoomScale="75" zoomScaleNormal="75" workbookViewId="0"/>
  </sheetViews>
  <sheetFormatPr defaultRowHeight="14.5" x14ac:dyDescent="0.35"/>
  <cols>
    <col min="1" max="1" width="20.26953125" customWidth="1"/>
    <col min="2" max="2" width="13" customWidth="1"/>
    <col min="3" max="3" width="13.1796875" customWidth="1"/>
    <col min="4" max="4" width="11.81640625" customWidth="1"/>
    <col min="5" max="5" width="12.1796875" customWidth="1"/>
    <col min="6" max="7" width="12.7265625" customWidth="1"/>
    <col min="8" max="8" width="11.81640625" customWidth="1"/>
    <col min="9" max="9" width="12.26953125" customWidth="1"/>
    <col min="10" max="10" width="12" customWidth="1"/>
    <col min="12" max="12" width="11.81640625" customWidth="1"/>
  </cols>
  <sheetData>
    <row r="1" spans="1:12" ht="93" x14ac:dyDescent="0.35">
      <c r="A1" s="93" t="s">
        <v>63</v>
      </c>
      <c r="B1" s="94" t="s">
        <v>64</v>
      </c>
      <c r="C1" s="90" t="s">
        <v>342</v>
      </c>
      <c r="D1" s="90" t="s">
        <v>65</v>
      </c>
      <c r="E1" s="90" t="s">
        <v>66</v>
      </c>
      <c r="F1" s="90" t="s">
        <v>67</v>
      </c>
      <c r="G1" s="90" t="s">
        <v>68</v>
      </c>
      <c r="H1" s="90" t="s">
        <v>343</v>
      </c>
      <c r="I1" s="90" t="s">
        <v>344</v>
      </c>
      <c r="J1" s="71" t="s">
        <v>345</v>
      </c>
      <c r="L1" s="71" t="s">
        <v>232</v>
      </c>
    </row>
    <row r="2" spans="1:12" ht="15" thickBot="1" x14ac:dyDescent="0.4">
      <c r="A2" s="91" t="s">
        <v>424</v>
      </c>
      <c r="B2" s="7">
        <v>5775</v>
      </c>
      <c r="C2" s="72">
        <v>0.3</v>
      </c>
      <c r="D2" s="7">
        <v>5285</v>
      </c>
      <c r="E2" s="7">
        <v>3175</v>
      </c>
      <c r="F2" s="7">
        <v>2000</v>
      </c>
      <c r="G2" s="7">
        <v>110</v>
      </c>
      <c r="H2" s="72">
        <v>0.6</v>
      </c>
      <c r="I2" s="72">
        <v>0.38</v>
      </c>
      <c r="J2" s="72">
        <v>0.02</v>
      </c>
      <c r="L2" s="21" t="s">
        <v>228</v>
      </c>
    </row>
    <row r="3" spans="1:12" ht="15" thickBot="1" x14ac:dyDescent="0.4">
      <c r="A3" s="91" t="s">
        <v>425</v>
      </c>
      <c r="B3" s="7">
        <v>28065</v>
      </c>
      <c r="C3" s="72">
        <v>0.22</v>
      </c>
      <c r="D3" s="7">
        <v>26225</v>
      </c>
      <c r="E3" s="7">
        <v>17415</v>
      </c>
      <c r="F3" s="7">
        <v>7410</v>
      </c>
      <c r="G3" s="7">
        <v>1400</v>
      </c>
      <c r="H3" s="72">
        <v>0.66</v>
      </c>
      <c r="I3" s="72">
        <v>0.28000000000000003</v>
      </c>
      <c r="J3" s="72">
        <v>0.05</v>
      </c>
      <c r="L3" s="21" t="s">
        <v>229</v>
      </c>
    </row>
    <row r="4" spans="1:12" ht="15" thickBot="1" x14ac:dyDescent="0.4">
      <c r="A4" s="91" t="s">
        <v>426</v>
      </c>
      <c r="B4" s="7">
        <v>20255</v>
      </c>
      <c r="C4" s="72">
        <v>0.17</v>
      </c>
      <c r="D4" s="7">
        <v>19750</v>
      </c>
      <c r="E4" s="7">
        <v>14560</v>
      </c>
      <c r="F4" s="7">
        <v>4725</v>
      </c>
      <c r="G4" s="7">
        <v>465</v>
      </c>
      <c r="H4" s="72">
        <v>0.74</v>
      </c>
      <c r="I4" s="72">
        <v>0.24</v>
      </c>
      <c r="J4" s="72">
        <v>0.02</v>
      </c>
      <c r="L4" s="21" t="s">
        <v>230</v>
      </c>
    </row>
    <row r="5" spans="1:12" ht="15" thickBot="1" x14ac:dyDescent="0.4">
      <c r="A5" s="91" t="s">
        <v>427</v>
      </c>
      <c r="B5" s="7">
        <v>2140</v>
      </c>
      <c r="C5" s="72">
        <v>0.21</v>
      </c>
      <c r="D5" s="7">
        <v>3245</v>
      </c>
      <c r="E5" s="7">
        <v>2480</v>
      </c>
      <c r="F5" s="7">
        <v>685</v>
      </c>
      <c r="G5" s="7">
        <v>85</v>
      </c>
      <c r="H5" s="72">
        <v>0.76</v>
      </c>
      <c r="I5" s="72">
        <v>0.21</v>
      </c>
      <c r="J5" s="72">
        <v>0.03</v>
      </c>
      <c r="L5" s="21" t="s">
        <v>231</v>
      </c>
    </row>
    <row r="6" spans="1:12" ht="15" thickBot="1" x14ac:dyDescent="0.4">
      <c r="A6" s="91" t="s">
        <v>428</v>
      </c>
      <c r="B6" s="7">
        <v>56235</v>
      </c>
      <c r="C6" s="72">
        <v>0.2</v>
      </c>
      <c r="D6" s="7">
        <v>54505</v>
      </c>
      <c r="E6" s="7">
        <v>37630</v>
      </c>
      <c r="F6" s="7">
        <v>14815</v>
      </c>
      <c r="G6" s="7">
        <v>2060</v>
      </c>
      <c r="H6" s="72">
        <v>0.69</v>
      </c>
      <c r="I6" s="72">
        <v>0.27</v>
      </c>
      <c r="J6" s="72">
        <v>0.04</v>
      </c>
      <c r="L6" s="21" t="s">
        <v>241</v>
      </c>
    </row>
    <row r="7" spans="1:12" ht="15" thickBot="1" x14ac:dyDescent="0.4">
      <c r="A7" s="91" t="s">
        <v>429</v>
      </c>
      <c r="B7" s="7">
        <v>6120</v>
      </c>
      <c r="C7" s="72">
        <v>0.31</v>
      </c>
      <c r="D7" s="7">
        <v>5665</v>
      </c>
      <c r="E7" s="7">
        <v>3650</v>
      </c>
      <c r="F7" s="7">
        <v>1925</v>
      </c>
      <c r="G7" s="7">
        <v>90</v>
      </c>
      <c r="H7" s="72">
        <v>0.64</v>
      </c>
      <c r="I7" s="72">
        <v>0.34</v>
      </c>
      <c r="J7" s="72">
        <v>0.02</v>
      </c>
    </row>
    <row r="8" spans="1:12" ht="15" thickBot="1" x14ac:dyDescent="0.4">
      <c r="A8" s="91" t="s">
        <v>430</v>
      </c>
      <c r="B8" s="7">
        <v>37675</v>
      </c>
      <c r="C8" s="72">
        <v>0.28999999999999998</v>
      </c>
      <c r="D8" s="7">
        <v>35645</v>
      </c>
      <c r="E8" s="7">
        <v>23660</v>
      </c>
      <c r="F8" s="7">
        <v>10465</v>
      </c>
      <c r="G8" s="7">
        <v>1520</v>
      </c>
      <c r="H8" s="72">
        <v>0.66</v>
      </c>
      <c r="I8" s="72">
        <v>0.28999999999999998</v>
      </c>
      <c r="J8" s="72">
        <v>0.04</v>
      </c>
    </row>
    <row r="9" spans="1:12" ht="15" thickBot="1" x14ac:dyDescent="0.4">
      <c r="A9" s="91" t="s">
        <v>431</v>
      </c>
      <c r="B9" s="7">
        <v>32065</v>
      </c>
      <c r="C9" s="72">
        <v>0.27</v>
      </c>
      <c r="D9" s="7">
        <v>30710</v>
      </c>
      <c r="E9" s="7">
        <v>21500</v>
      </c>
      <c r="F9" s="7">
        <v>8680</v>
      </c>
      <c r="G9" s="7">
        <v>530</v>
      </c>
      <c r="H9" s="72">
        <v>0.7</v>
      </c>
      <c r="I9" s="72">
        <v>0.28000000000000003</v>
      </c>
      <c r="J9" s="72">
        <v>0.02</v>
      </c>
    </row>
    <row r="10" spans="1:12" ht="15" thickBot="1" x14ac:dyDescent="0.4">
      <c r="A10" s="91" t="s">
        <v>432</v>
      </c>
      <c r="B10" s="7">
        <v>2855</v>
      </c>
      <c r="C10" s="72">
        <v>0.28000000000000003</v>
      </c>
      <c r="D10" s="7">
        <v>4720</v>
      </c>
      <c r="E10" s="7">
        <v>3185</v>
      </c>
      <c r="F10" s="7">
        <v>1440</v>
      </c>
      <c r="G10" s="7">
        <v>95</v>
      </c>
      <c r="H10" s="72">
        <v>0.68</v>
      </c>
      <c r="I10" s="72">
        <v>0.3</v>
      </c>
      <c r="J10" s="72">
        <v>0.02</v>
      </c>
    </row>
    <row r="11" spans="1:12" ht="15" thickBot="1" x14ac:dyDescent="0.4">
      <c r="A11" s="91" t="s">
        <v>433</v>
      </c>
      <c r="B11" s="7">
        <v>78715</v>
      </c>
      <c r="C11" s="72">
        <v>0.28000000000000003</v>
      </c>
      <c r="D11" s="7">
        <v>76740</v>
      </c>
      <c r="E11" s="7">
        <v>52000</v>
      </c>
      <c r="F11" s="7">
        <v>22505</v>
      </c>
      <c r="G11" s="7">
        <v>2235</v>
      </c>
      <c r="H11" s="72">
        <v>0.68</v>
      </c>
      <c r="I11" s="72">
        <v>0.28999999999999998</v>
      </c>
      <c r="J11" s="72">
        <v>0.03</v>
      </c>
    </row>
    <row r="12" spans="1:12" ht="15" thickBot="1" x14ac:dyDescent="0.4">
      <c r="A12" s="91" t="s">
        <v>434</v>
      </c>
      <c r="B12" s="7">
        <v>4575</v>
      </c>
      <c r="C12" s="72">
        <v>0.23</v>
      </c>
      <c r="D12" s="7">
        <v>4245</v>
      </c>
      <c r="E12" s="7">
        <v>2795</v>
      </c>
      <c r="F12" s="7">
        <v>1385</v>
      </c>
      <c r="G12" s="7">
        <v>65</v>
      </c>
      <c r="H12" s="72">
        <v>0.66</v>
      </c>
      <c r="I12" s="72">
        <v>0.33</v>
      </c>
      <c r="J12" s="72">
        <v>0.01</v>
      </c>
    </row>
    <row r="13" spans="1:12" ht="15" thickBot="1" x14ac:dyDescent="0.4">
      <c r="A13" s="91" t="s">
        <v>435</v>
      </c>
      <c r="B13" s="7">
        <v>32680</v>
      </c>
      <c r="C13" s="72">
        <v>0.26</v>
      </c>
      <c r="D13" s="7">
        <v>30875</v>
      </c>
      <c r="E13" s="7">
        <v>20405</v>
      </c>
      <c r="F13" s="7">
        <v>9360</v>
      </c>
      <c r="G13" s="7">
        <v>1110</v>
      </c>
      <c r="H13" s="72">
        <v>0.66</v>
      </c>
      <c r="I13" s="72">
        <v>0.3</v>
      </c>
      <c r="J13" s="72">
        <v>0.04</v>
      </c>
    </row>
    <row r="14" spans="1:12" ht="15" thickBot="1" x14ac:dyDescent="0.4">
      <c r="A14" s="91" t="s">
        <v>436</v>
      </c>
      <c r="B14" s="7">
        <v>32055</v>
      </c>
      <c r="C14" s="72">
        <v>0.27</v>
      </c>
      <c r="D14" s="7">
        <v>30285</v>
      </c>
      <c r="E14" s="7">
        <v>20240</v>
      </c>
      <c r="F14" s="7">
        <v>9535</v>
      </c>
      <c r="G14" s="7">
        <v>505</v>
      </c>
      <c r="H14" s="72">
        <v>0.67</v>
      </c>
      <c r="I14" s="72">
        <v>0.31</v>
      </c>
      <c r="J14" s="72">
        <v>0.02</v>
      </c>
    </row>
    <row r="15" spans="1:12" ht="15" thickBot="1" x14ac:dyDescent="0.4">
      <c r="A15" s="91" t="s">
        <v>437</v>
      </c>
      <c r="B15" s="7">
        <v>2675</v>
      </c>
      <c r="C15" s="72">
        <v>0.26</v>
      </c>
      <c r="D15" s="7">
        <v>4645</v>
      </c>
      <c r="E15" s="7">
        <v>2865</v>
      </c>
      <c r="F15" s="7">
        <v>1700</v>
      </c>
      <c r="G15" s="7">
        <v>80</v>
      </c>
      <c r="H15" s="72">
        <v>0.62</v>
      </c>
      <c r="I15" s="72">
        <v>0.37</v>
      </c>
      <c r="J15" s="72">
        <v>0.02</v>
      </c>
    </row>
    <row r="16" spans="1:12" ht="15" thickBot="1" x14ac:dyDescent="0.4">
      <c r="A16" s="91" t="s">
        <v>438</v>
      </c>
      <c r="B16" s="7">
        <v>71985</v>
      </c>
      <c r="C16" s="72">
        <v>0.26</v>
      </c>
      <c r="D16" s="7">
        <v>70050</v>
      </c>
      <c r="E16" s="7">
        <v>46310</v>
      </c>
      <c r="F16" s="7">
        <v>21980</v>
      </c>
      <c r="G16" s="7">
        <v>1760</v>
      </c>
      <c r="H16" s="72">
        <v>0.66</v>
      </c>
      <c r="I16" s="72">
        <v>0.31</v>
      </c>
      <c r="J16" s="72">
        <v>0.03</v>
      </c>
    </row>
    <row r="17" spans="1:10" ht="15" thickBot="1" x14ac:dyDescent="0.4">
      <c r="A17" s="91" t="s">
        <v>439</v>
      </c>
      <c r="B17" s="7">
        <v>2075</v>
      </c>
      <c r="C17" s="72">
        <v>0.11</v>
      </c>
      <c r="D17" s="7">
        <v>1900</v>
      </c>
      <c r="E17" s="7">
        <v>1330</v>
      </c>
      <c r="F17" s="7">
        <v>540</v>
      </c>
      <c r="G17" s="7">
        <v>35</v>
      </c>
      <c r="H17" s="72">
        <v>0.7</v>
      </c>
      <c r="I17" s="72">
        <v>0.28000000000000003</v>
      </c>
      <c r="J17" s="72">
        <v>0.02</v>
      </c>
    </row>
    <row r="18" spans="1:10" ht="15" thickBot="1" x14ac:dyDescent="0.4">
      <c r="A18" s="91" t="s">
        <v>440</v>
      </c>
      <c r="B18" s="7">
        <v>19050</v>
      </c>
      <c r="C18" s="72">
        <v>0.15</v>
      </c>
      <c r="D18" s="7">
        <v>18025</v>
      </c>
      <c r="E18" s="7">
        <v>12115</v>
      </c>
      <c r="F18" s="7">
        <v>5325</v>
      </c>
      <c r="G18" s="7">
        <v>580</v>
      </c>
      <c r="H18" s="72">
        <v>0.67</v>
      </c>
      <c r="I18" s="72">
        <v>0.3</v>
      </c>
      <c r="J18" s="72">
        <v>0.03</v>
      </c>
    </row>
    <row r="19" spans="1:10" ht="15" thickBot="1" x14ac:dyDescent="0.4">
      <c r="A19" s="91" t="s">
        <v>441</v>
      </c>
      <c r="B19" s="7">
        <v>20970</v>
      </c>
      <c r="C19" s="72">
        <v>0.18</v>
      </c>
      <c r="D19" s="7">
        <v>19655</v>
      </c>
      <c r="E19" s="7">
        <v>12900</v>
      </c>
      <c r="F19" s="7">
        <v>6495</v>
      </c>
      <c r="G19" s="7">
        <v>260</v>
      </c>
      <c r="H19" s="72">
        <v>0.66</v>
      </c>
      <c r="I19" s="72">
        <v>0.33</v>
      </c>
      <c r="J19" s="72">
        <v>0.01</v>
      </c>
    </row>
    <row r="20" spans="1:10" ht="15" thickBot="1" x14ac:dyDescent="0.4">
      <c r="A20" s="91" t="s">
        <v>442</v>
      </c>
      <c r="B20" s="7">
        <v>1600</v>
      </c>
      <c r="C20" s="72">
        <v>0.16</v>
      </c>
      <c r="D20" s="7">
        <v>2885</v>
      </c>
      <c r="E20" s="7">
        <v>1625</v>
      </c>
      <c r="F20" s="7">
        <v>1200</v>
      </c>
      <c r="G20" s="7">
        <v>65</v>
      </c>
      <c r="H20" s="72">
        <v>0.56000000000000005</v>
      </c>
      <c r="I20" s="72">
        <v>0.42</v>
      </c>
      <c r="J20" s="72">
        <v>0.02</v>
      </c>
    </row>
    <row r="21" spans="1:10" ht="15" thickBot="1" x14ac:dyDescent="0.4">
      <c r="A21" s="91" t="s">
        <v>443</v>
      </c>
      <c r="B21" s="7">
        <v>43690</v>
      </c>
      <c r="C21" s="72">
        <v>0.16</v>
      </c>
      <c r="D21" s="7">
        <v>42470</v>
      </c>
      <c r="E21" s="7">
        <v>27970</v>
      </c>
      <c r="F21" s="7">
        <v>13560</v>
      </c>
      <c r="G21" s="7">
        <v>940</v>
      </c>
      <c r="H21" s="72">
        <v>0.66</v>
      </c>
      <c r="I21" s="72">
        <v>0.32</v>
      </c>
      <c r="J21" s="72">
        <v>0.02</v>
      </c>
    </row>
    <row r="22" spans="1:10" ht="15" thickBot="1" x14ac:dyDescent="0.4">
      <c r="A22" s="91" t="s">
        <v>444</v>
      </c>
      <c r="B22" s="7">
        <v>480</v>
      </c>
      <c r="C22" s="72">
        <v>0.02</v>
      </c>
      <c r="D22" s="7">
        <v>440</v>
      </c>
      <c r="E22" s="7">
        <v>305</v>
      </c>
      <c r="F22" s="7">
        <v>120</v>
      </c>
      <c r="G22" s="7">
        <v>10</v>
      </c>
      <c r="H22" s="72">
        <v>0.7</v>
      </c>
      <c r="I22" s="72">
        <v>0.28000000000000003</v>
      </c>
      <c r="J22" s="72">
        <v>0.03</v>
      </c>
    </row>
    <row r="23" spans="1:10" ht="15" thickBot="1" x14ac:dyDescent="0.4">
      <c r="A23" s="91" t="s">
        <v>445</v>
      </c>
      <c r="B23" s="7">
        <v>7115</v>
      </c>
      <c r="C23" s="72">
        <v>0.06</v>
      </c>
      <c r="D23" s="7">
        <v>6700</v>
      </c>
      <c r="E23" s="7">
        <v>4505</v>
      </c>
      <c r="F23" s="7">
        <v>1965</v>
      </c>
      <c r="G23" s="7">
        <v>230</v>
      </c>
      <c r="H23" s="72">
        <v>0.67</v>
      </c>
      <c r="I23" s="72">
        <v>0.28999999999999998</v>
      </c>
      <c r="J23" s="72">
        <v>0.03</v>
      </c>
    </row>
    <row r="24" spans="1:10" ht="15" thickBot="1" x14ac:dyDescent="0.4">
      <c r="A24" s="91" t="s">
        <v>446</v>
      </c>
      <c r="B24" s="7">
        <v>8975</v>
      </c>
      <c r="C24" s="72">
        <v>0.08</v>
      </c>
      <c r="D24" s="7">
        <v>8390</v>
      </c>
      <c r="E24" s="7">
        <v>5410</v>
      </c>
      <c r="F24" s="7">
        <v>2865</v>
      </c>
      <c r="G24" s="7">
        <v>115</v>
      </c>
      <c r="H24" s="72">
        <v>0.64</v>
      </c>
      <c r="I24" s="72">
        <v>0.34</v>
      </c>
      <c r="J24" s="72">
        <v>0.01</v>
      </c>
    </row>
    <row r="25" spans="1:10" ht="15" thickBot="1" x14ac:dyDescent="0.4">
      <c r="A25" s="91" t="s">
        <v>447</v>
      </c>
      <c r="B25" s="7">
        <v>570</v>
      </c>
      <c r="C25" s="72">
        <v>0.06</v>
      </c>
      <c r="D25" s="7">
        <v>1160</v>
      </c>
      <c r="E25" s="7">
        <v>540</v>
      </c>
      <c r="F25" s="7">
        <v>605</v>
      </c>
      <c r="G25" s="7">
        <v>15</v>
      </c>
      <c r="H25" s="72">
        <v>0.47</v>
      </c>
      <c r="I25" s="72">
        <v>0.52</v>
      </c>
      <c r="J25" s="72">
        <v>0.01</v>
      </c>
    </row>
    <row r="26" spans="1:10" ht="15" thickBot="1" x14ac:dyDescent="0.4">
      <c r="A26" s="91" t="s">
        <v>448</v>
      </c>
      <c r="B26" s="7">
        <v>17140</v>
      </c>
      <c r="C26" s="72">
        <v>0.06</v>
      </c>
      <c r="D26" s="7">
        <v>16685</v>
      </c>
      <c r="E26" s="7">
        <v>10760</v>
      </c>
      <c r="F26" s="7">
        <v>5550</v>
      </c>
      <c r="G26" s="7">
        <v>370</v>
      </c>
      <c r="H26" s="72">
        <v>0.64</v>
      </c>
      <c r="I26" s="72">
        <v>0.33</v>
      </c>
      <c r="J26" s="72">
        <v>0.02</v>
      </c>
    </row>
    <row r="27" spans="1:10" ht="15" thickBot="1" x14ac:dyDescent="0.4">
      <c r="A27" s="91" t="s">
        <v>449</v>
      </c>
      <c r="B27" s="7">
        <v>70</v>
      </c>
      <c r="C27" s="72">
        <v>0</v>
      </c>
      <c r="D27" s="7">
        <v>65</v>
      </c>
      <c r="E27" s="7">
        <v>50</v>
      </c>
      <c r="F27" s="7">
        <v>15</v>
      </c>
      <c r="G27" s="7" t="s">
        <v>511</v>
      </c>
      <c r="H27" s="72">
        <v>0.77</v>
      </c>
      <c r="I27" s="72" t="s">
        <v>511</v>
      </c>
      <c r="J27" s="72" t="s">
        <v>511</v>
      </c>
    </row>
    <row r="28" spans="1:10" ht="15" thickBot="1" x14ac:dyDescent="0.4">
      <c r="A28" s="91" t="s">
        <v>450</v>
      </c>
      <c r="B28" s="7">
        <v>1640</v>
      </c>
      <c r="C28" s="72">
        <v>0.01</v>
      </c>
      <c r="D28" s="7">
        <v>1555</v>
      </c>
      <c r="E28" s="7">
        <v>995</v>
      </c>
      <c r="F28" s="7">
        <v>500</v>
      </c>
      <c r="G28" s="7">
        <v>60</v>
      </c>
      <c r="H28" s="72">
        <v>0.64</v>
      </c>
      <c r="I28" s="72">
        <v>0.32</v>
      </c>
      <c r="J28" s="72">
        <v>0.04</v>
      </c>
    </row>
    <row r="29" spans="1:10" ht="15" thickBot="1" x14ac:dyDescent="0.4">
      <c r="A29" s="91" t="s">
        <v>451</v>
      </c>
      <c r="B29" s="7">
        <v>2295</v>
      </c>
      <c r="C29" s="72">
        <v>0.02</v>
      </c>
      <c r="D29" s="7">
        <v>2105</v>
      </c>
      <c r="E29" s="7">
        <v>1320</v>
      </c>
      <c r="F29" s="7">
        <v>765</v>
      </c>
      <c r="G29" s="7">
        <v>20</v>
      </c>
      <c r="H29" s="72">
        <v>0.63</v>
      </c>
      <c r="I29" s="72">
        <v>0.36</v>
      </c>
      <c r="J29" s="72">
        <v>0.01</v>
      </c>
    </row>
    <row r="30" spans="1:10" ht="15" thickBot="1" x14ac:dyDescent="0.4">
      <c r="A30" s="91" t="s">
        <v>452</v>
      </c>
      <c r="B30" s="7">
        <v>125</v>
      </c>
      <c r="C30" s="72">
        <v>0.01</v>
      </c>
      <c r="D30" s="7">
        <v>285</v>
      </c>
      <c r="E30" s="7">
        <v>115</v>
      </c>
      <c r="F30" s="7">
        <v>165</v>
      </c>
      <c r="G30" s="7">
        <v>5</v>
      </c>
      <c r="H30" s="72">
        <v>0.41</v>
      </c>
      <c r="I30" s="72">
        <v>0.57999999999999996</v>
      </c>
      <c r="J30" s="72">
        <v>0.02</v>
      </c>
    </row>
    <row r="31" spans="1:10" ht="15" thickBot="1" x14ac:dyDescent="0.4">
      <c r="A31" s="91" t="s">
        <v>453</v>
      </c>
      <c r="B31" s="7">
        <v>4135</v>
      </c>
      <c r="C31" s="72">
        <v>0.01</v>
      </c>
      <c r="D31" s="7">
        <v>4010</v>
      </c>
      <c r="E31" s="7">
        <v>2480</v>
      </c>
      <c r="F31" s="7">
        <v>1440</v>
      </c>
      <c r="G31" s="7">
        <v>85</v>
      </c>
      <c r="H31" s="72">
        <v>0.62</v>
      </c>
      <c r="I31" s="72">
        <v>0.36</v>
      </c>
      <c r="J31" s="72">
        <v>0.02</v>
      </c>
    </row>
    <row r="32" spans="1:10" ht="15" thickBot="1" x14ac:dyDescent="0.4">
      <c r="A32" s="91" t="s">
        <v>454</v>
      </c>
      <c r="B32" s="7">
        <v>15</v>
      </c>
      <c r="C32" s="72">
        <v>0</v>
      </c>
      <c r="D32" s="7">
        <v>15</v>
      </c>
      <c r="E32" s="7">
        <v>5</v>
      </c>
      <c r="F32" s="7">
        <v>5</v>
      </c>
      <c r="G32" s="7" t="s">
        <v>511</v>
      </c>
      <c r="H32" s="72">
        <v>0.54</v>
      </c>
      <c r="I32" s="72" t="s">
        <v>511</v>
      </c>
      <c r="J32" s="72" t="s">
        <v>511</v>
      </c>
    </row>
    <row r="33" spans="1:10" ht="15" thickBot="1" x14ac:dyDescent="0.4">
      <c r="A33" s="91" t="s">
        <v>455</v>
      </c>
      <c r="B33" s="7">
        <v>415</v>
      </c>
      <c r="C33" s="72">
        <v>0</v>
      </c>
      <c r="D33" s="7">
        <v>385</v>
      </c>
      <c r="E33" s="7">
        <v>240</v>
      </c>
      <c r="F33" s="7">
        <v>120</v>
      </c>
      <c r="G33" s="7">
        <v>25</v>
      </c>
      <c r="H33" s="72">
        <v>0.63</v>
      </c>
      <c r="I33" s="72">
        <v>0.31</v>
      </c>
      <c r="J33" s="72">
        <v>0.06</v>
      </c>
    </row>
    <row r="34" spans="1:10" ht="15" thickBot="1" x14ac:dyDescent="0.4">
      <c r="A34" s="91" t="s">
        <v>456</v>
      </c>
      <c r="B34" s="7">
        <v>620</v>
      </c>
      <c r="C34" s="72">
        <v>0.01</v>
      </c>
      <c r="D34" s="7">
        <v>560</v>
      </c>
      <c r="E34" s="7">
        <v>340</v>
      </c>
      <c r="F34" s="7">
        <v>205</v>
      </c>
      <c r="G34" s="7">
        <v>15</v>
      </c>
      <c r="H34" s="72">
        <v>0.61</v>
      </c>
      <c r="I34" s="72">
        <v>0.37</v>
      </c>
      <c r="J34" s="72">
        <v>0.02</v>
      </c>
    </row>
    <row r="35" spans="1:10" ht="15" thickBot="1" x14ac:dyDescent="0.4">
      <c r="A35" s="91" t="s">
        <v>457</v>
      </c>
      <c r="B35" s="7">
        <v>35</v>
      </c>
      <c r="C35" s="72">
        <v>0</v>
      </c>
      <c r="D35" s="7">
        <v>90</v>
      </c>
      <c r="E35" s="7">
        <v>40</v>
      </c>
      <c r="F35" s="7">
        <v>50</v>
      </c>
      <c r="G35" s="7" t="s">
        <v>511</v>
      </c>
      <c r="H35" s="72" t="s">
        <v>511</v>
      </c>
      <c r="I35" s="72">
        <v>0.54</v>
      </c>
      <c r="J35" s="72" t="s">
        <v>511</v>
      </c>
    </row>
    <row r="36" spans="1:10" ht="15" thickBot="1" x14ac:dyDescent="0.4">
      <c r="A36" s="91" t="s">
        <v>458</v>
      </c>
      <c r="B36" s="7">
        <v>1080</v>
      </c>
      <c r="C36" s="72">
        <v>0</v>
      </c>
      <c r="D36" s="7">
        <v>1050</v>
      </c>
      <c r="E36" s="7">
        <v>630</v>
      </c>
      <c r="F36" s="7">
        <v>380</v>
      </c>
      <c r="G36" s="7">
        <v>40</v>
      </c>
      <c r="H36" s="72">
        <v>0.6</v>
      </c>
      <c r="I36" s="72">
        <v>0.36</v>
      </c>
      <c r="J36" s="72">
        <v>0.04</v>
      </c>
    </row>
    <row r="37" spans="1:10" ht="15" thickBot="1" x14ac:dyDescent="0.4">
      <c r="A37" s="91" t="s">
        <v>459</v>
      </c>
      <c r="B37" s="7">
        <v>5</v>
      </c>
      <c r="C37" s="72">
        <v>0</v>
      </c>
      <c r="D37" s="7">
        <v>5</v>
      </c>
      <c r="E37" s="7">
        <v>5</v>
      </c>
      <c r="F37" s="7" t="s">
        <v>511</v>
      </c>
      <c r="G37" s="7">
        <v>0</v>
      </c>
      <c r="H37" s="72" t="s">
        <v>511</v>
      </c>
      <c r="I37" s="72" t="s">
        <v>511</v>
      </c>
      <c r="J37" s="72">
        <v>0</v>
      </c>
    </row>
    <row r="38" spans="1:10" ht="15" thickBot="1" x14ac:dyDescent="0.4">
      <c r="A38" s="91" t="s">
        <v>460</v>
      </c>
      <c r="B38" s="7">
        <v>220</v>
      </c>
      <c r="C38" s="72">
        <v>0</v>
      </c>
      <c r="D38" s="7">
        <v>210</v>
      </c>
      <c r="E38" s="7">
        <v>130</v>
      </c>
      <c r="F38" s="7">
        <v>65</v>
      </c>
      <c r="G38" s="7">
        <v>15</v>
      </c>
      <c r="H38" s="72">
        <v>0.63</v>
      </c>
      <c r="I38" s="72">
        <v>0.31</v>
      </c>
      <c r="J38" s="72">
        <v>0.06</v>
      </c>
    </row>
    <row r="39" spans="1:10" ht="15" thickBot="1" x14ac:dyDescent="0.4">
      <c r="A39" s="91" t="s">
        <v>461</v>
      </c>
      <c r="B39" s="7">
        <v>280</v>
      </c>
      <c r="C39" s="72">
        <v>0</v>
      </c>
      <c r="D39" s="7">
        <v>245</v>
      </c>
      <c r="E39" s="7">
        <v>135</v>
      </c>
      <c r="F39" s="7">
        <v>105</v>
      </c>
      <c r="G39" s="7">
        <v>5</v>
      </c>
      <c r="H39" s="72">
        <v>0.56000000000000005</v>
      </c>
      <c r="I39" s="72">
        <v>0.42</v>
      </c>
      <c r="J39" s="72">
        <v>0.02</v>
      </c>
    </row>
    <row r="40" spans="1:10" ht="15" thickBot="1" x14ac:dyDescent="0.4">
      <c r="A40" s="91" t="s">
        <v>462</v>
      </c>
      <c r="B40" s="7">
        <v>20</v>
      </c>
      <c r="C40" s="72">
        <v>0</v>
      </c>
      <c r="D40" s="7">
        <v>40</v>
      </c>
      <c r="E40" s="7">
        <v>15</v>
      </c>
      <c r="F40" s="7">
        <v>25</v>
      </c>
      <c r="G40" s="7" t="s">
        <v>511</v>
      </c>
      <c r="H40" s="72" t="s">
        <v>511</v>
      </c>
      <c r="I40" s="72">
        <v>0.63</v>
      </c>
      <c r="J40" s="72" t="s">
        <v>511</v>
      </c>
    </row>
    <row r="41" spans="1:10" ht="15" thickBot="1" x14ac:dyDescent="0.4">
      <c r="A41" s="91" t="s">
        <v>463</v>
      </c>
      <c r="B41" s="7">
        <v>525</v>
      </c>
      <c r="C41" s="72">
        <v>0</v>
      </c>
      <c r="D41" s="7">
        <v>500</v>
      </c>
      <c r="E41" s="7">
        <v>285</v>
      </c>
      <c r="F41" s="7">
        <v>195</v>
      </c>
      <c r="G41" s="7">
        <v>20</v>
      </c>
      <c r="H41" s="72">
        <v>0.56999999999999995</v>
      </c>
      <c r="I41" s="72">
        <v>0.39</v>
      </c>
      <c r="J41" s="72">
        <v>0.04</v>
      </c>
    </row>
    <row r="42" spans="1:10" ht="15" thickBot="1" x14ac:dyDescent="0.4">
      <c r="A42" s="91" t="s">
        <v>464</v>
      </c>
      <c r="B42" s="7" t="s">
        <v>511</v>
      </c>
      <c r="C42" s="72">
        <v>0</v>
      </c>
      <c r="D42" s="7" t="s">
        <v>511</v>
      </c>
      <c r="E42" s="7">
        <v>0</v>
      </c>
      <c r="F42" s="7" t="s">
        <v>511</v>
      </c>
      <c r="G42" s="7">
        <v>0</v>
      </c>
      <c r="H42" s="72">
        <v>0</v>
      </c>
      <c r="I42" s="72">
        <v>1</v>
      </c>
      <c r="J42" s="72">
        <v>0</v>
      </c>
    </row>
    <row r="43" spans="1:10" ht="15" thickBot="1" x14ac:dyDescent="0.4">
      <c r="A43" s="91" t="s">
        <v>465</v>
      </c>
      <c r="B43" s="7">
        <v>115</v>
      </c>
      <c r="C43" s="72">
        <v>0</v>
      </c>
      <c r="D43" s="7">
        <v>110</v>
      </c>
      <c r="E43" s="7">
        <v>65</v>
      </c>
      <c r="F43" s="7">
        <v>30</v>
      </c>
      <c r="G43" s="7">
        <v>10</v>
      </c>
      <c r="H43" s="72">
        <v>0.61</v>
      </c>
      <c r="I43" s="72">
        <v>0.28999999999999998</v>
      </c>
      <c r="J43" s="72">
        <v>0.09</v>
      </c>
    </row>
    <row r="44" spans="1:10" ht="15" thickBot="1" x14ac:dyDescent="0.4">
      <c r="A44" s="91" t="s">
        <v>466</v>
      </c>
      <c r="B44" s="7">
        <v>115</v>
      </c>
      <c r="C44" s="72">
        <v>0</v>
      </c>
      <c r="D44" s="7">
        <v>105</v>
      </c>
      <c r="E44" s="7">
        <v>65</v>
      </c>
      <c r="F44" s="7">
        <v>35</v>
      </c>
      <c r="G44" s="7">
        <v>0</v>
      </c>
      <c r="H44" s="72">
        <v>0.64</v>
      </c>
      <c r="I44" s="72">
        <v>0.36</v>
      </c>
      <c r="J44" s="72">
        <v>0</v>
      </c>
    </row>
    <row r="45" spans="1:10" ht="15" thickBot="1" x14ac:dyDescent="0.4">
      <c r="A45" s="91" t="s">
        <v>467</v>
      </c>
      <c r="B45" s="7">
        <v>5</v>
      </c>
      <c r="C45" s="72">
        <v>0</v>
      </c>
      <c r="D45" s="7">
        <v>10</v>
      </c>
      <c r="E45" s="7" t="s">
        <v>511</v>
      </c>
      <c r="F45" s="7">
        <v>10</v>
      </c>
      <c r="G45" s="7">
        <v>0</v>
      </c>
      <c r="H45" s="72" t="s">
        <v>511</v>
      </c>
      <c r="I45" s="72" t="s">
        <v>511</v>
      </c>
      <c r="J45" s="72">
        <v>0</v>
      </c>
    </row>
    <row r="46" spans="1:10" ht="15" thickBot="1" x14ac:dyDescent="0.4">
      <c r="A46" s="91" t="s">
        <v>468</v>
      </c>
      <c r="B46" s="7">
        <v>240</v>
      </c>
      <c r="C46" s="72">
        <v>0</v>
      </c>
      <c r="D46" s="7">
        <v>225</v>
      </c>
      <c r="E46" s="7">
        <v>135</v>
      </c>
      <c r="F46" s="7">
        <v>80</v>
      </c>
      <c r="G46" s="7">
        <v>10</v>
      </c>
      <c r="H46" s="72">
        <v>0.6</v>
      </c>
      <c r="I46" s="72">
        <v>0.36</v>
      </c>
      <c r="J46" s="72">
        <v>0.04</v>
      </c>
    </row>
    <row r="47" spans="1:10" ht="29.5" thickBot="1" x14ac:dyDescent="0.4">
      <c r="A47" s="91" t="s">
        <v>469</v>
      </c>
      <c r="B47" s="7" t="s">
        <v>511</v>
      </c>
      <c r="C47" s="72">
        <v>0</v>
      </c>
      <c r="D47" s="7" t="s">
        <v>511</v>
      </c>
      <c r="E47" s="7" t="s">
        <v>511</v>
      </c>
      <c r="F47" s="7">
        <v>0</v>
      </c>
      <c r="G47" s="7">
        <v>0</v>
      </c>
      <c r="H47" s="72">
        <v>1</v>
      </c>
      <c r="I47" s="72">
        <v>0</v>
      </c>
      <c r="J47" s="72">
        <v>0</v>
      </c>
    </row>
    <row r="48" spans="1:10" ht="29.5" thickBot="1" x14ac:dyDescent="0.4">
      <c r="A48" s="91" t="s">
        <v>470</v>
      </c>
      <c r="B48" s="7">
        <v>50</v>
      </c>
      <c r="C48" s="72">
        <v>0</v>
      </c>
      <c r="D48" s="7">
        <v>45</v>
      </c>
      <c r="E48" s="7">
        <v>20</v>
      </c>
      <c r="F48" s="7">
        <v>20</v>
      </c>
      <c r="G48" s="7" t="s">
        <v>511</v>
      </c>
      <c r="H48" s="72">
        <v>0.49</v>
      </c>
      <c r="I48" s="72" t="s">
        <v>511</v>
      </c>
      <c r="J48" s="72" t="s">
        <v>511</v>
      </c>
    </row>
    <row r="49" spans="1:10" ht="29.5" thickBot="1" x14ac:dyDescent="0.4">
      <c r="A49" s="91" t="s">
        <v>471</v>
      </c>
      <c r="B49" s="7">
        <v>65</v>
      </c>
      <c r="C49" s="72">
        <v>0</v>
      </c>
      <c r="D49" s="7">
        <v>55</v>
      </c>
      <c r="E49" s="7">
        <v>30</v>
      </c>
      <c r="F49" s="7">
        <v>20</v>
      </c>
      <c r="G49" s="7">
        <v>5</v>
      </c>
      <c r="H49" s="72">
        <v>0.56999999999999995</v>
      </c>
      <c r="I49" s="72">
        <v>0.36</v>
      </c>
      <c r="J49" s="72">
        <v>0.08</v>
      </c>
    </row>
    <row r="50" spans="1:10" ht="29.5" thickBot="1" x14ac:dyDescent="0.4">
      <c r="A50" s="91" t="s">
        <v>472</v>
      </c>
      <c r="B50" s="7">
        <v>5</v>
      </c>
      <c r="C50" s="72">
        <v>0</v>
      </c>
      <c r="D50" s="7">
        <v>15</v>
      </c>
      <c r="E50" s="7" t="s">
        <v>511</v>
      </c>
      <c r="F50" s="7">
        <v>15</v>
      </c>
      <c r="G50" s="7">
        <v>0</v>
      </c>
      <c r="H50" s="72" t="s">
        <v>511</v>
      </c>
      <c r="I50" s="72" t="s">
        <v>511</v>
      </c>
      <c r="J50" s="72">
        <v>0</v>
      </c>
    </row>
    <row r="51" spans="1:10" ht="15" thickBot="1" x14ac:dyDescent="0.4">
      <c r="A51" s="91" t="s">
        <v>473</v>
      </c>
      <c r="B51" s="7">
        <v>120</v>
      </c>
      <c r="C51" s="72">
        <v>0</v>
      </c>
      <c r="D51" s="7">
        <v>115</v>
      </c>
      <c r="E51" s="7">
        <v>55</v>
      </c>
      <c r="F51" s="7">
        <v>55</v>
      </c>
      <c r="G51" s="7">
        <v>5</v>
      </c>
      <c r="H51" s="72">
        <v>0.48</v>
      </c>
      <c r="I51" s="72">
        <v>0.48</v>
      </c>
      <c r="J51" s="72">
        <v>0.04</v>
      </c>
    </row>
    <row r="52" spans="1:10" ht="15" thickBot="1" x14ac:dyDescent="0.4">
      <c r="A52" s="91" t="s">
        <v>216</v>
      </c>
      <c r="B52" s="7">
        <v>19480</v>
      </c>
      <c r="C52" s="72">
        <v>1</v>
      </c>
      <c r="D52" s="7">
        <v>17935</v>
      </c>
      <c r="E52" s="7">
        <v>11505</v>
      </c>
      <c r="F52" s="7">
        <v>6080</v>
      </c>
      <c r="G52" s="7">
        <v>350</v>
      </c>
      <c r="H52" s="72">
        <v>0.64</v>
      </c>
      <c r="I52" s="72">
        <v>0.34</v>
      </c>
      <c r="J52" s="72">
        <v>0.02</v>
      </c>
    </row>
    <row r="53" spans="1:10" ht="15" thickBot="1" x14ac:dyDescent="0.4">
      <c r="A53" s="91" t="s">
        <v>217</v>
      </c>
      <c r="B53" s="7">
        <v>128070</v>
      </c>
      <c r="C53" s="72">
        <v>1</v>
      </c>
      <c r="D53" s="7">
        <v>120690</v>
      </c>
      <c r="E53" s="7">
        <v>80100</v>
      </c>
      <c r="F53" s="7">
        <v>35375</v>
      </c>
      <c r="G53" s="7">
        <v>5215</v>
      </c>
      <c r="H53" s="72">
        <v>0.66</v>
      </c>
      <c r="I53" s="72">
        <v>0.28999999999999998</v>
      </c>
      <c r="J53" s="72">
        <v>0.04</v>
      </c>
    </row>
    <row r="54" spans="1:10" ht="15" thickBot="1" x14ac:dyDescent="0.4">
      <c r="A54" s="91" t="s">
        <v>218</v>
      </c>
      <c r="B54" s="7">
        <v>118545</v>
      </c>
      <c r="C54" s="72">
        <v>1</v>
      </c>
      <c r="D54" s="7">
        <v>112505</v>
      </c>
      <c r="E54" s="7">
        <v>76980</v>
      </c>
      <c r="F54" s="7">
        <v>33490</v>
      </c>
      <c r="G54" s="7">
        <v>2040</v>
      </c>
      <c r="H54" s="72">
        <v>0.68</v>
      </c>
      <c r="I54" s="72">
        <v>0.3</v>
      </c>
      <c r="J54" s="72">
        <v>0.02</v>
      </c>
    </row>
    <row r="55" spans="1:10" ht="15" thickBot="1" x14ac:dyDescent="0.4">
      <c r="A55" s="91" t="s">
        <v>219</v>
      </c>
      <c r="B55" s="7">
        <v>10155</v>
      </c>
      <c r="C55" s="72">
        <v>1</v>
      </c>
      <c r="D55" s="7">
        <v>17250</v>
      </c>
      <c r="E55" s="7">
        <v>10990</v>
      </c>
      <c r="F55" s="7">
        <v>5895</v>
      </c>
      <c r="G55" s="7">
        <v>360</v>
      </c>
      <c r="H55" s="72">
        <v>0.64</v>
      </c>
      <c r="I55" s="72">
        <v>0.34</v>
      </c>
      <c r="J55" s="72">
        <v>0.02</v>
      </c>
    </row>
    <row r="56" spans="1:10" ht="15" thickBot="1" x14ac:dyDescent="0.4">
      <c r="A56" s="91" t="s">
        <v>273</v>
      </c>
      <c r="B56" s="7">
        <v>276250</v>
      </c>
      <c r="C56" s="72">
        <v>1</v>
      </c>
      <c r="D56" s="7">
        <v>268375</v>
      </c>
      <c r="E56" s="7">
        <v>179575</v>
      </c>
      <c r="F56" s="7">
        <v>80835</v>
      </c>
      <c r="G56" s="7">
        <v>7965</v>
      </c>
      <c r="H56" s="72">
        <v>0.67</v>
      </c>
      <c r="I56" s="72">
        <v>0.3</v>
      </c>
      <c r="J56" s="72">
        <v>0.03</v>
      </c>
    </row>
    <row r="57" spans="1:10" ht="15" thickBot="1" x14ac:dyDescent="0.4">
      <c r="A57" s="91" t="s">
        <v>474</v>
      </c>
      <c r="B57" s="7">
        <v>310</v>
      </c>
      <c r="C57" s="72">
        <v>0.02</v>
      </c>
      <c r="D57" s="7">
        <v>275</v>
      </c>
      <c r="E57" s="7">
        <v>190</v>
      </c>
      <c r="F57" s="7">
        <v>80</v>
      </c>
      <c r="G57" s="7">
        <v>5</v>
      </c>
      <c r="H57" s="72">
        <v>0.69</v>
      </c>
      <c r="I57" s="72">
        <v>0.28999999999999998</v>
      </c>
      <c r="J57" s="72">
        <v>0.03</v>
      </c>
    </row>
    <row r="58" spans="1:10" ht="15" thickBot="1" x14ac:dyDescent="0.4">
      <c r="A58" s="91" t="s">
        <v>475</v>
      </c>
      <c r="B58" s="7">
        <v>775</v>
      </c>
      <c r="C58" s="72">
        <v>0.01</v>
      </c>
      <c r="D58" s="7">
        <v>705</v>
      </c>
      <c r="E58" s="7">
        <v>540</v>
      </c>
      <c r="F58" s="7">
        <v>80</v>
      </c>
      <c r="G58" s="7">
        <v>80</v>
      </c>
      <c r="H58" s="72">
        <v>0.77</v>
      </c>
      <c r="I58" s="72">
        <v>0.12</v>
      </c>
      <c r="J58" s="72">
        <v>0.12</v>
      </c>
    </row>
    <row r="59" spans="1:10" ht="15" thickBot="1" x14ac:dyDescent="0.4">
      <c r="A59" s="91" t="s">
        <v>476</v>
      </c>
      <c r="B59" s="7">
        <v>555</v>
      </c>
      <c r="C59" s="72">
        <v>0</v>
      </c>
      <c r="D59" s="7">
        <v>545</v>
      </c>
      <c r="E59" s="7">
        <v>470</v>
      </c>
      <c r="F59" s="7">
        <v>55</v>
      </c>
      <c r="G59" s="7">
        <v>20</v>
      </c>
      <c r="H59" s="72">
        <v>0.86</v>
      </c>
      <c r="I59" s="72">
        <v>0.1</v>
      </c>
      <c r="J59" s="72">
        <v>0.04</v>
      </c>
    </row>
    <row r="60" spans="1:10" ht="15" thickBot="1" x14ac:dyDescent="0.4">
      <c r="A60" s="91" t="s">
        <v>477</v>
      </c>
      <c r="B60" s="7">
        <v>85</v>
      </c>
      <c r="C60" s="72">
        <v>0.01</v>
      </c>
      <c r="D60" s="7">
        <v>130</v>
      </c>
      <c r="E60" s="7">
        <v>120</v>
      </c>
      <c r="F60" s="7">
        <v>5</v>
      </c>
      <c r="G60" s="7">
        <v>5</v>
      </c>
      <c r="H60" s="72">
        <v>0.92</v>
      </c>
      <c r="I60" s="72">
        <v>0.05</v>
      </c>
      <c r="J60" s="72">
        <v>0.03</v>
      </c>
    </row>
    <row r="61" spans="1:10" ht="15" thickBot="1" x14ac:dyDescent="0.4">
      <c r="A61" s="91" t="s">
        <v>478</v>
      </c>
      <c r="B61" s="7">
        <v>1730</v>
      </c>
      <c r="C61" s="72">
        <v>0.01</v>
      </c>
      <c r="D61" s="7">
        <v>1660</v>
      </c>
      <c r="E61" s="7">
        <v>1320</v>
      </c>
      <c r="F61" s="7">
        <v>220</v>
      </c>
      <c r="G61" s="7">
        <v>115</v>
      </c>
      <c r="H61" s="72">
        <v>0.8</v>
      </c>
      <c r="I61" s="72">
        <v>0.13</v>
      </c>
      <c r="J61" s="72">
        <v>7.0000000000000007E-2</v>
      </c>
    </row>
    <row r="62" spans="1:10" ht="15" thickBot="1" x14ac:dyDescent="0.4">
      <c r="A62" s="91" t="s">
        <v>414</v>
      </c>
      <c r="B62" s="7">
        <v>50</v>
      </c>
      <c r="C62" s="72">
        <v>0</v>
      </c>
      <c r="D62" s="7">
        <v>40</v>
      </c>
      <c r="E62" s="7">
        <v>0</v>
      </c>
      <c r="F62" s="7">
        <v>5</v>
      </c>
      <c r="G62" s="7">
        <v>35</v>
      </c>
      <c r="H62" s="72">
        <v>0</v>
      </c>
      <c r="I62" s="72">
        <v>0.15</v>
      </c>
      <c r="J62" s="72">
        <v>0.85</v>
      </c>
    </row>
    <row r="63" spans="1:10" ht="15" thickBot="1" x14ac:dyDescent="0.4">
      <c r="A63" s="91" t="s">
        <v>415</v>
      </c>
      <c r="B63" s="7">
        <v>270</v>
      </c>
      <c r="C63" s="72">
        <v>0</v>
      </c>
      <c r="D63" s="7">
        <v>215</v>
      </c>
      <c r="E63" s="7">
        <v>0</v>
      </c>
      <c r="F63" s="7">
        <v>35</v>
      </c>
      <c r="G63" s="7">
        <v>185</v>
      </c>
      <c r="H63" s="72">
        <v>0</v>
      </c>
      <c r="I63" s="72">
        <v>0.16</v>
      </c>
      <c r="J63" s="72">
        <v>0.84</v>
      </c>
    </row>
    <row r="64" spans="1:10" ht="15" thickBot="1" x14ac:dyDescent="0.4">
      <c r="A64" s="91" t="s">
        <v>416</v>
      </c>
      <c r="B64" s="7">
        <v>290</v>
      </c>
      <c r="C64" s="72">
        <v>0</v>
      </c>
      <c r="D64" s="7">
        <v>105</v>
      </c>
      <c r="E64" s="7">
        <v>0</v>
      </c>
      <c r="F64" s="7">
        <v>10</v>
      </c>
      <c r="G64" s="7">
        <v>95</v>
      </c>
      <c r="H64" s="72">
        <v>0</v>
      </c>
      <c r="I64" s="72">
        <v>0.1</v>
      </c>
      <c r="J64" s="72">
        <v>0.9</v>
      </c>
    </row>
    <row r="65" spans="1:10" ht="15" thickBot="1" x14ac:dyDescent="0.4">
      <c r="A65" s="91" t="s">
        <v>417</v>
      </c>
      <c r="B65" s="7">
        <v>45</v>
      </c>
      <c r="C65" s="72">
        <v>0</v>
      </c>
      <c r="D65" s="7">
        <v>15</v>
      </c>
      <c r="E65" s="7">
        <v>0</v>
      </c>
      <c r="F65" s="7">
        <v>0</v>
      </c>
      <c r="G65" s="7">
        <v>15</v>
      </c>
      <c r="H65" s="72">
        <v>0</v>
      </c>
      <c r="I65" s="72">
        <v>0</v>
      </c>
      <c r="J65" s="72">
        <v>1</v>
      </c>
    </row>
    <row r="66" spans="1:10" x14ac:dyDescent="0.35">
      <c r="A66" s="92" t="s">
        <v>418</v>
      </c>
      <c r="B66" s="7">
        <v>660</v>
      </c>
      <c r="C66" s="72">
        <v>0</v>
      </c>
      <c r="D66" s="7">
        <v>375</v>
      </c>
      <c r="E66" s="7">
        <v>0</v>
      </c>
      <c r="F66" s="7">
        <v>50</v>
      </c>
      <c r="G66" s="7">
        <v>325</v>
      </c>
      <c r="H66" s="72">
        <v>0</v>
      </c>
      <c r="I66" s="72">
        <v>0.13</v>
      </c>
      <c r="J66" s="72">
        <v>0.87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81"/>
  <sheetViews>
    <sheetView zoomScale="75" zoomScaleNormal="75" workbookViewId="0"/>
  </sheetViews>
  <sheetFormatPr defaultRowHeight="14.5" x14ac:dyDescent="0.35"/>
  <cols>
    <col min="1" max="1" width="45" customWidth="1"/>
    <col min="2" max="10" width="14.1796875" customWidth="1"/>
    <col min="12" max="12" width="11.453125" customWidth="1"/>
  </cols>
  <sheetData>
    <row r="1" spans="1:12" ht="62" x14ac:dyDescent="0.35">
      <c r="A1" s="70" t="s">
        <v>91</v>
      </c>
      <c r="B1" s="70" t="s">
        <v>75</v>
      </c>
      <c r="C1" s="70" t="s">
        <v>55</v>
      </c>
      <c r="D1" s="70" t="s">
        <v>65</v>
      </c>
      <c r="E1" s="70" t="s">
        <v>76</v>
      </c>
      <c r="F1" s="70" t="s">
        <v>77</v>
      </c>
      <c r="G1" s="70" t="s">
        <v>78</v>
      </c>
      <c r="H1" s="70" t="s">
        <v>51</v>
      </c>
      <c r="I1" s="70" t="s">
        <v>52</v>
      </c>
      <c r="J1" s="71" t="s">
        <v>53</v>
      </c>
      <c r="L1" s="71" t="s">
        <v>232</v>
      </c>
    </row>
    <row r="2" spans="1:12" x14ac:dyDescent="0.35">
      <c r="A2" s="66" t="s">
        <v>92</v>
      </c>
      <c r="B2" s="73">
        <v>615</v>
      </c>
      <c r="C2" s="72">
        <v>0.03</v>
      </c>
      <c r="D2" s="73">
        <v>550</v>
      </c>
      <c r="E2" s="73">
        <v>355</v>
      </c>
      <c r="F2" s="73">
        <v>185</v>
      </c>
      <c r="G2" s="73">
        <v>10</v>
      </c>
      <c r="H2" s="72">
        <v>0.64</v>
      </c>
      <c r="I2" s="72">
        <v>0.34</v>
      </c>
      <c r="J2" s="72">
        <v>0.02</v>
      </c>
      <c r="L2" s="21" t="s">
        <v>228</v>
      </c>
    </row>
    <row r="3" spans="1:12" x14ac:dyDescent="0.35">
      <c r="A3" s="66" t="s">
        <v>93</v>
      </c>
      <c r="B3" s="73">
        <v>3540</v>
      </c>
      <c r="C3" s="72">
        <v>0.03</v>
      </c>
      <c r="D3" s="73">
        <v>3320</v>
      </c>
      <c r="E3" s="73">
        <v>2320</v>
      </c>
      <c r="F3" s="73">
        <v>860</v>
      </c>
      <c r="G3" s="73">
        <v>145</v>
      </c>
      <c r="H3" s="72">
        <v>0.7</v>
      </c>
      <c r="I3" s="72">
        <v>0.26</v>
      </c>
      <c r="J3" s="72">
        <v>0.04</v>
      </c>
      <c r="L3" t="s">
        <v>229</v>
      </c>
    </row>
    <row r="4" spans="1:12" x14ac:dyDescent="0.35">
      <c r="A4" s="66" t="s">
        <v>94</v>
      </c>
      <c r="B4" s="73">
        <v>3895</v>
      </c>
      <c r="C4" s="72">
        <v>0.03</v>
      </c>
      <c r="D4" s="73">
        <v>3620</v>
      </c>
      <c r="E4" s="73">
        <v>2525</v>
      </c>
      <c r="F4" s="73">
        <v>1020</v>
      </c>
      <c r="G4" s="73">
        <v>75</v>
      </c>
      <c r="H4" s="72">
        <v>0.7</v>
      </c>
      <c r="I4" s="72">
        <v>0.28000000000000003</v>
      </c>
      <c r="J4" s="72">
        <v>0.02</v>
      </c>
      <c r="L4" t="s">
        <v>230</v>
      </c>
    </row>
    <row r="5" spans="1:12" x14ac:dyDescent="0.35">
      <c r="A5" s="66" t="s">
        <v>95</v>
      </c>
      <c r="B5" s="73">
        <v>355</v>
      </c>
      <c r="C5" s="72">
        <v>0.03</v>
      </c>
      <c r="D5" s="73">
        <v>620</v>
      </c>
      <c r="E5" s="73">
        <v>390</v>
      </c>
      <c r="F5" s="73">
        <v>215</v>
      </c>
      <c r="G5" s="73">
        <v>15</v>
      </c>
      <c r="H5" s="72">
        <v>0.63</v>
      </c>
      <c r="I5" s="72">
        <v>0.35</v>
      </c>
      <c r="J5" s="72">
        <v>0.02</v>
      </c>
      <c r="L5" t="s">
        <v>231</v>
      </c>
    </row>
    <row r="6" spans="1:12" x14ac:dyDescent="0.35">
      <c r="A6" s="66" t="s">
        <v>242</v>
      </c>
      <c r="B6" s="73">
        <v>8400</v>
      </c>
      <c r="C6" s="72">
        <v>0.03</v>
      </c>
      <c r="D6" s="73">
        <v>8105</v>
      </c>
      <c r="E6" s="73">
        <v>5585</v>
      </c>
      <c r="F6" s="73">
        <v>2280</v>
      </c>
      <c r="G6" s="73">
        <v>240</v>
      </c>
      <c r="H6" s="72">
        <v>0.69</v>
      </c>
      <c r="I6" s="72">
        <v>0.28000000000000003</v>
      </c>
      <c r="J6" s="72">
        <v>0.03</v>
      </c>
      <c r="L6" t="s">
        <v>241</v>
      </c>
    </row>
    <row r="7" spans="1:12" x14ac:dyDescent="0.35">
      <c r="A7" s="66" t="s">
        <v>96</v>
      </c>
      <c r="B7" s="73">
        <v>520</v>
      </c>
      <c r="C7" s="72">
        <v>0.03</v>
      </c>
      <c r="D7" s="73">
        <v>480</v>
      </c>
      <c r="E7" s="73">
        <v>270</v>
      </c>
      <c r="F7" s="73">
        <v>195</v>
      </c>
      <c r="G7" s="73">
        <v>10</v>
      </c>
      <c r="H7" s="72">
        <v>0.56999999999999995</v>
      </c>
      <c r="I7" s="72">
        <v>0.41</v>
      </c>
      <c r="J7" s="72">
        <v>0.02</v>
      </c>
    </row>
    <row r="8" spans="1:12" x14ac:dyDescent="0.35">
      <c r="A8" s="66" t="s">
        <v>97</v>
      </c>
      <c r="B8" s="73">
        <v>2700</v>
      </c>
      <c r="C8" s="72">
        <v>0.02</v>
      </c>
      <c r="D8" s="73">
        <v>2540</v>
      </c>
      <c r="E8" s="73">
        <v>1785</v>
      </c>
      <c r="F8" s="73">
        <v>650</v>
      </c>
      <c r="G8" s="73">
        <v>105</v>
      </c>
      <c r="H8" s="72">
        <v>0.7</v>
      </c>
      <c r="I8" s="72">
        <v>0.26</v>
      </c>
      <c r="J8" s="72">
        <v>0.04</v>
      </c>
    </row>
    <row r="9" spans="1:12" x14ac:dyDescent="0.35">
      <c r="A9" s="66" t="s">
        <v>98</v>
      </c>
      <c r="B9" s="73">
        <v>3330</v>
      </c>
      <c r="C9" s="72">
        <v>0.03</v>
      </c>
      <c r="D9" s="73">
        <v>3095</v>
      </c>
      <c r="E9" s="73">
        <v>2065</v>
      </c>
      <c r="F9" s="73">
        <v>980</v>
      </c>
      <c r="G9" s="73">
        <v>50</v>
      </c>
      <c r="H9" s="72">
        <v>0.67</v>
      </c>
      <c r="I9" s="72">
        <v>0.32</v>
      </c>
      <c r="J9" s="72">
        <v>0.02</v>
      </c>
    </row>
    <row r="10" spans="1:12" x14ac:dyDescent="0.35">
      <c r="A10" s="66" t="s">
        <v>99</v>
      </c>
      <c r="B10" s="73">
        <v>260</v>
      </c>
      <c r="C10" s="72">
        <v>0.03</v>
      </c>
      <c r="D10" s="73">
        <v>465</v>
      </c>
      <c r="E10" s="73">
        <v>285</v>
      </c>
      <c r="F10" s="73">
        <v>175</v>
      </c>
      <c r="G10" s="73">
        <v>5</v>
      </c>
      <c r="H10" s="72">
        <v>0.61</v>
      </c>
      <c r="I10" s="72">
        <v>0.38</v>
      </c>
      <c r="J10" s="72">
        <v>0.01</v>
      </c>
    </row>
    <row r="11" spans="1:12" x14ac:dyDescent="0.35">
      <c r="A11" s="66" t="s">
        <v>243</v>
      </c>
      <c r="B11" s="73">
        <v>6810</v>
      </c>
      <c r="C11" s="72">
        <v>0.02</v>
      </c>
      <c r="D11" s="73">
        <v>6575</v>
      </c>
      <c r="E11" s="73">
        <v>4405</v>
      </c>
      <c r="F11" s="73">
        <v>2005</v>
      </c>
      <c r="G11" s="73">
        <v>170</v>
      </c>
      <c r="H11" s="72">
        <v>0.67</v>
      </c>
      <c r="I11" s="72">
        <v>0.3</v>
      </c>
      <c r="J11" s="72">
        <v>0.03</v>
      </c>
    </row>
    <row r="12" spans="1:12" x14ac:dyDescent="0.35">
      <c r="A12" s="66" t="s">
        <v>100</v>
      </c>
      <c r="B12" s="73">
        <v>340</v>
      </c>
      <c r="C12" s="72">
        <v>0.02</v>
      </c>
      <c r="D12" s="73">
        <v>315</v>
      </c>
      <c r="E12" s="73">
        <v>220</v>
      </c>
      <c r="F12" s="73">
        <v>90</v>
      </c>
      <c r="G12" s="73">
        <v>5</v>
      </c>
      <c r="H12" s="72">
        <v>0.7</v>
      </c>
      <c r="I12" s="72">
        <v>0.28000000000000003</v>
      </c>
      <c r="J12" s="72">
        <v>0.02</v>
      </c>
    </row>
    <row r="13" spans="1:12" x14ac:dyDescent="0.35">
      <c r="A13" s="66" t="s">
        <v>101</v>
      </c>
      <c r="B13" s="73">
        <v>2365</v>
      </c>
      <c r="C13" s="72">
        <v>0.02</v>
      </c>
      <c r="D13" s="73">
        <v>2215</v>
      </c>
      <c r="E13" s="73">
        <v>1600</v>
      </c>
      <c r="F13" s="73">
        <v>530</v>
      </c>
      <c r="G13" s="73">
        <v>85</v>
      </c>
      <c r="H13" s="72">
        <v>0.72</v>
      </c>
      <c r="I13" s="72">
        <v>0.24</v>
      </c>
      <c r="J13" s="72">
        <v>0.04</v>
      </c>
    </row>
    <row r="14" spans="1:12" x14ac:dyDescent="0.35">
      <c r="A14" s="66" t="s">
        <v>102</v>
      </c>
      <c r="B14" s="73">
        <v>2235</v>
      </c>
      <c r="C14" s="72">
        <v>0.02</v>
      </c>
      <c r="D14" s="73">
        <v>2110</v>
      </c>
      <c r="E14" s="73">
        <v>1500</v>
      </c>
      <c r="F14" s="73">
        <v>580</v>
      </c>
      <c r="G14" s="73">
        <v>30</v>
      </c>
      <c r="H14" s="72">
        <v>0.71</v>
      </c>
      <c r="I14" s="72">
        <v>0.27</v>
      </c>
      <c r="J14" s="72">
        <v>0.01</v>
      </c>
    </row>
    <row r="15" spans="1:12" x14ac:dyDescent="0.35">
      <c r="A15" s="66" t="s">
        <v>103</v>
      </c>
      <c r="B15" s="73">
        <v>190</v>
      </c>
      <c r="C15" s="72">
        <v>0.02</v>
      </c>
      <c r="D15" s="73">
        <v>345</v>
      </c>
      <c r="E15" s="73">
        <v>210</v>
      </c>
      <c r="F15" s="73">
        <v>120</v>
      </c>
      <c r="G15" s="73">
        <v>15</v>
      </c>
      <c r="H15" s="72">
        <v>0.61</v>
      </c>
      <c r="I15" s="72">
        <v>0.35</v>
      </c>
      <c r="J15" s="72">
        <v>0.04</v>
      </c>
    </row>
    <row r="16" spans="1:12" x14ac:dyDescent="0.35">
      <c r="A16" s="66" t="s">
        <v>244</v>
      </c>
      <c r="B16" s="73">
        <v>5130</v>
      </c>
      <c r="C16" s="72">
        <v>0.02</v>
      </c>
      <c r="D16" s="73">
        <v>4985</v>
      </c>
      <c r="E16" s="73">
        <v>3535</v>
      </c>
      <c r="F16" s="73">
        <v>1320</v>
      </c>
      <c r="G16" s="73">
        <v>135</v>
      </c>
      <c r="H16" s="72">
        <v>0.71</v>
      </c>
      <c r="I16" s="72">
        <v>0.26</v>
      </c>
      <c r="J16" s="72">
        <v>0.03</v>
      </c>
    </row>
    <row r="17" spans="1:10" x14ac:dyDescent="0.35">
      <c r="A17" s="66" t="s">
        <v>104</v>
      </c>
      <c r="B17" s="73">
        <v>250</v>
      </c>
      <c r="C17" s="72">
        <v>0.01</v>
      </c>
      <c r="D17" s="73">
        <v>230</v>
      </c>
      <c r="E17" s="73">
        <v>155</v>
      </c>
      <c r="F17" s="73">
        <v>70</v>
      </c>
      <c r="G17" s="73">
        <v>5</v>
      </c>
      <c r="H17" s="72">
        <v>0.67</v>
      </c>
      <c r="I17" s="72">
        <v>0.31</v>
      </c>
      <c r="J17" s="72">
        <v>0.02</v>
      </c>
    </row>
    <row r="18" spans="1:10" x14ac:dyDescent="0.35">
      <c r="A18" s="66" t="s">
        <v>105</v>
      </c>
      <c r="B18" s="73">
        <v>1310</v>
      </c>
      <c r="C18" s="72">
        <v>0.01</v>
      </c>
      <c r="D18" s="73">
        <v>1240</v>
      </c>
      <c r="E18" s="73">
        <v>850</v>
      </c>
      <c r="F18" s="73">
        <v>330</v>
      </c>
      <c r="G18" s="73">
        <v>55</v>
      </c>
      <c r="H18" s="72">
        <v>0.69</v>
      </c>
      <c r="I18" s="72">
        <v>0.27</v>
      </c>
      <c r="J18" s="72">
        <v>0.05</v>
      </c>
    </row>
    <row r="19" spans="1:10" x14ac:dyDescent="0.35">
      <c r="A19" s="66" t="s">
        <v>106</v>
      </c>
      <c r="B19" s="73">
        <v>1385</v>
      </c>
      <c r="C19" s="72">
        <v>0.01</v>
      </c>
      <c r="D19" s="73">
        <v>1320</v>
      </c>
      <c r="E19" s="73">
        <v>925</v>
      </c>
      <c r="F19" s="73">
        <v>380</v>
      </c>
      <c r="G19" s="73">
        <v>20</v>
      </c>
      <c r="H19" s="72">
        <v>0.7</v>
      </c>
      <c r="I19" s="72">
        <v>0.28999999999999998</v>
      </c>
      <c r="J19" s="72">
        <v>0.02</v>
      </c>
    </row>
    <row r="20" spans="1:10" x14ac:dyDescent="0.35">
      <c r="A20" s="66" t="s">
        <v>107</v>
      </c>
      <c r="B20" s="73">
        <v>110</v>
      </c>
      <c r="C20" s="72">
        <v>0.01</v>
      </c>
      <c r="D20" s="73">
        <v>180</v>
      </c>
      <c r="E20" s="73">
        <v>125</v>
      </c>
      <c r="F20" s="73">
        <v>55</v>
      </c>
      <c r="G20" s="73">
        <v>5</v>
      </c>
      <c r="H20" s="72">
        <v>0.68</v>
      </c>
      <c r="I20" s="72">
        <v>0.28999999999999998</v>
      </c>
      <c r="J20" s="72">
        <v>0.02</v>
      </c>
    </row>
    <row r="21" spans="1:10" x14ac:dyDescent="0.35">
      <c r="A21" s="66" t="s">
        <v>245</v>
      </c>
      <c r="B21" s="73">
        <v>3050</v>
      </c>
      <c r="C21" s="72">
        <v>0.01</v>
      </c>
      <c r="D21" s="73">
        <v>2970</v>
      </c>
      <c r="E21" s="73">
        <v>2050</v>
      </c>
      <c r="F21" s="73">
        <v>835</v>
      </c>
      <c r="G21" s="73">
        <v>85</v>
      </c>
      <c r="H21" s="72">
        <v>0.69</v>
      </c>
      <c r="I21" s="72">
        <v>0.28000000000000003</v>
      </c>
      <c r="J21" s="72">
        <v>0.03</v>
      </c>
    </row>
    <row r="22" spans="1:10" x14ac:dyDescent="0.35">
      <c r="A22" s="66" t="s">
        <v>108</v>
      </c>
      <c r="B22" s="73">
        <v>165</v>
      </c>
      <c r="C22" s="72">
        <v>0.01</v>
      </c>
      <c r="D22" s="73">
        <v>150</v>
      </c>
      <c r="E22" s="73">
        <v>110</v>
      </c>
      <c r="F22" s="73">
        <v>35</v>
      </c>
      <c r="G22" s="73">
        <v>5</v>
      </c>
      <c r="H22" s="72">
        <v>0.74</v>
      </c>
      <c r="I22" s="72">
        <v>0.24</v>
      </c>
      <c r="J22" s="72">
        <v>0.02</v>
      </c>
    </row>
    <row r="23" spans="1:10" x14ac:dyDescent="0.35">
      <c r="A23" s="66" t="s">
        <v>109</v>
      </c>
      <c r="B23" s="73">
        <v>1390</v>
      </c>
      <c r="C23" s="72">
        <v>0.01</v>
      </c>
      <c r="D23" s="73">
        <v>1305</v>
      </c>
      <c r="E23" s="73">
        <v>935</v>
      </c>
      <c r="F23" s="73">
        <v>310</v>
      </c>
      <c r="G23" s="73">
        <v>60</v>
      </c>
      <c r="H23" s="72">
        <v>0.72</v>
      </c>
      <c r="I23" s="72">
        <v>0.24</v>
      </c>
      <c r="J23" s="72">
        <v>0.04</v>
      </c>
    </row>
    <row r="24" spans="1:10" x14ac:dyDescent="0.35">
      <c r="A24" s="66" t="s">
        <v>110</v>
      </c>
      <c r="B24" s="73">
        <v>1335</v>
      </c>
      <c r="C24" s="72">
        <v>0.01</v>
      </c>
      <c r="D24" s="73">
        <v>1285</v>
      </c>
      <c r="E24" s="73">
        <v>905</v>
      </c>
      <c r="F24" s="73">
        <v>345</v>
      </c>
      <c r="G24" s="73">
        <v>35</v>
      </c>
      <c r="H24" s="72">
        <v>0.7</v>
      </c>
      <c r="I24" s="72">
        <v>0.27</v>
      </c>
      <c r="J24" s="72">
        <v>0.03</v>
      </c>
    </row>
    <row r="25" spans="1:10" x14ac:dyDescent="0.35">
      <c r="A25" s="66" t="s">
        <v>111</v>
      </c>
      <c r="B25" s="73">
        <v>100</v>
      </c>
      <c r="C25" s="72">
        <v>0.01</v>
      </c>
      <c r="D25" s="73">
        <v>170</v>
      </c>
      <c r="E25" s="73">
        <v>110</v>
      </c>
      <c r="F25" s="73">
        <v>60</v>
      </c>
      <c r="G25" s="73" t="s">
        <v>486</v>
      </c>
      <c r="H25" s="72">
        <v>0.64</v>
      </c>
      <c r="I25" s="72" t="s">
        <v>486</v>
      </c>
      <c r="J25" s="72" t="s">
        <v>486</v>
      </c>
    </row>
    <row r="26" spans="1:10" x14ac:dyDescent="0.35">
      <c r="A26" s="66" t="s">
        <v>246</v>
      </c>
      <c r="B26" s="73">
        <v>2980</v>
      </c>
      <c r="C26" s="72">
        <v>0.01</v>
      </c>
      <c r="D26" s="73">
        <v>2910</v>
      </c>
      <c r="E26" s="73">
        <v>2060</v>
      </c>
      <c r="F26" s="73">
        <v>750</v>
      </c>
      <c r="G26" s="73">
        <v>95</v>
      </c>
      <c r="H26" s="72">
        <v>0.71</v>
      </c>
      <c r="I26" s="72">
        <v>0.26</v>
      </c>
      <c r="J26" s="72">
        <v>0.03</v>
      </c>
    </row>
    <row r="27" spans="1:10" x14ac:dyDescent="0.35">
      <c r="A27" s="66" t="s">
        <v>112</v>
      </c>
      <c r="B27" s="73">
        <v>430</v>
      </c>
      <c r="C27" s="72">
        <v>0.02</v>
      </c>
      <c r="D27" s="73">
        <v>400</v>
      </c>
      <c r="E27" s="73">
        <v>295</v>
      </c>
      <c r="F27" s="73">
        <v>100</v>
      </c>
      <c r="G27" s="73">
        <v>10</v>
      </c>
      <c r="H27" s="72">
        <v>0.73</v>
      </c>
      <c r="I27" s="72">
        <v>0.25</v>
      </c>
      <c r="J27" s="72">
        <v>0.02</v>
      </c>
    </row>
    <row r="28" spans="1:10" x14ac:dyDescent="0.35">
      <c r="A28" s="66" t="s">
        <v>113</v>
      </c>
      <c r="B28" s="73">
        <v>3320</v>
      </c>
      <c r="C28" s="72">
        <v>0.03</v>
      </c>
      <c r="D28" s="73">
        <v>3085</v>
      </c>
      <c r="E28" s="73">
        <v>2240</v>
      </c>
      <c r="F28" s="73">
        <v>710</v>
      </c>
      <c r="G28" s="73">
        <v>135</v>
      </c>
      <c r="H28" s="72">
        <v>0.73</v>
      </c>
      <c r="I28" s="72">
        <v>0.23</v>
      </c>
      <c r="J28" s="72">
        <v>0.04</v>
      </c>
    </row>
    <row r="29" spans="1:10" x14ac:dyDescent="0.35">
      <c r="A29" s="66" t="s">
        <v>114</v>
      </c>
      <c r="B29" s="73">
        <v>3090</v>
      </c>
      <c r="C29" s="72">
        <v>0.03</v>
      </c>
      <c r="D29" s="73">
        <v>2990</v>
      </c>
      <c r="E29" s="73">
        <v>2105</v>
      </c>
      <c r="F29" s="73">
        <v>830</v>
      </c>
      <c r="G29" s="73">
        <v>55</v>
      </c>
      <c r="H29" s="72">
        <v>0.7</v>
      </c>
      <c r="I29" s="72">
        <v>0.28000000000000003</v>
      </c>
      <c r="J29" s="72">
        <v>0.02</v>
      </c>
    </row>
    <row r="30" spans="1:10" x14ac:dyDescent="0.35">
      <c r="A30" s="66" t="s">
        <v>115</v>
      </c>
      <c r="B30" s="73">
        <v>245</v>
      </c>
      <c r="C30" s="72">
        <v>0.02</v>
      </c>
      <c r="D30" s="73">
        <v>440</v>
      </c>
      <c r="E30" s="73">
        <v>280</v>
      </c>
      <c r="F30" s="73">
        <v>150</v>
      </c>
      <c r="G30" s="73">
        <v>10</v>
      </c>
      <c r="H30" s="72">
        <v>0.63</v>
      </c>
      <c r="I30" s="72">
        <v>0.34</v>
      </c>
      <c r="J30" s="72">
        <v>0.02</v>
      </c>
    </row>
    <row r="31" spans="1:10" x14ac:dyDescent="0.35">
      <c r="A31" s="66" t="s">
        <v>247</v>
      </c>
      <c r="B31" s="73">
        <v>7085</v>
      </c>
      <c r="C31" s="72">
        <v>0.03</v>
      </c>
      <c r="D31" s="73">
        <v>6915</v>
      </c>
      <c r="E31" s="73">
        <v>4920</v>
      </c>
      <c r="F31" s="73">
        <v>1790</v>
      </c>
      <c r="G31" s="73">
        <v>210</v>
      </c>
      <c r="H31" s="72">
        <v>0.71</v>
      </c>
      <c r="I31" s="72">
        <v>0.26</v>
      </c>
      <c r="J31" s="72">
        <v>0.03</v>
      </c>
    </row>
    <row r="32" spans="1:10" x14ac:dyDescent="0.35">
      <c r="A32" s="66" t="s">
        <v>116</v>
      </c>
      <c r="B32" s="73">
        <v>615</v>
      </c>
      <c r="C32" s="72">
        <v>0.03</v>
      </c>
      <c r="D32" s="73">
        <v>565</v>
      </c>
      <c r="E32" s="73">
        <v>445</v>
      </c>
      <c r="F32" s="73">
        <v>110</v>
      </c>
      <c r="G32" s="73">
        <v>5</v>
      </c>
      <c r="H32" s="72">
        <v>0.79</v>
      </c>
      <c r="I32" s="72">
        <v>0.2</v>
      </c>
      <c r="J32" s="72">
        <v>0.01</v>
      </c>
    </row>
    <row r="33" spans="1:10" x14ac:dyDescent="0.35">
      <c r="A33" s="66" t="s">
        <v>117</v>
      </c>
      <c r="B33" s="73">
        <v>4520</v>
      </c>
      <c r="C33" s="72">
        <v>0.04</v>
      </c>
      <c r="D33" s="73">
        <v>4280</v>
      </c>
      <c r="E33" s="73">
        <v>3085</v>
      </c>
      <c r="F33" s="73">
        <v>1010</v>
      </c>
      <c r="G33" s="73">
        <v>185</v>
      </c>
      <c r="H33" s="72">
        <v>0.72</v>
      </c>
      <c r="I33" s="72">
        <v>0.24</v>
      </c>
      <c r="J33" s="72">
        <v>0.04</v>
      </c>
    </row>
    <row r="34" spans="1:10" x14ac:dyDescent="0.35">
      <c r="A34" s="66" t="s">
        <v>118</v>
      </c>
      <c r="B34" s="73">
        <v>3790</v>
      </c>
      <c r="C34" s="72">
        <v>0.03</v>
      </c>
      <c r="D34" s="73">
        <v>3625</v>
      </c>
      <c r="E34" s="73">
        <v>2575</v>
      </c>
      <c r="F34" s="73">
        <v>970</v>
      </c>
      <c r="G34" s="73">
        <v>80</v>
      </c>
      <c r="H34" s="72">
        <v>0.71</v>
      </c>
      <c r="I34" s="72">
        <v>0.27</v>
      </c>
      <c r="J34" s="72">
        <v>0.02</v>
      </c>
    </row>
    <row r="35" spans="1:10" x14ac:dyDescent="0.35">
      <c r="A35" s="66" t="s">
        <v>119</v>
      </c>
      <c r="B35" s="73">
        <v>320</v>
      </c>
      <c r="C35" s="72">
        <v>0.03</v>
      </c>
      <c r="D35" s="73">
        <v>530</v>
      </c>
      <c r="E35" s="73">
        <v>345</v>
      </c>
      <c r="F35" s="73">
        <v>175</v>
      </c>
      <c r="G35" s="73">
        <v>10</v>
      </c>
      <c r="H35" s="72">
        <v>0.65</v>
      </c>
      <c r="I35" s="72">
        <v>0.33</v>
      </c>
      <c r="J35" s="72">
        <v>0.02</v>
      </c>
    </row>
    <row r="36" spans="1:10" x14ac:dyDescent="0.35">
      <c r="A36" s="66" t="s">
        <v>248</v>
      </c>
      <c r="B36" s="73">
        <v>9250</v>
      </c>
      <c r="C36" s="72">
        <v>0.03</v>
      </c>
      <c r="D36" s="73">
        <v>9000</v>
      </c>
      <c r="E36" s="73">
        <v>6450</v>
      </c>
      <c r="F36" s="73">
        <v>2265</v>
      </c>
      <c r="G36" s="73">
        <v>280</v>
      </c>
      <c r="H36" s="72">
        <v>0.72</v>
      </c>
      <c r="I36" s="72">
        <v>0.25</v>
      </c>
      <c r="J36" s="72">
        <v>0.03</v>
      </c>
    </row>
    <row r="37" spans="1:10" x14ac:dyDescent="0.35">
      <c r="A37" s="66" t="s">
        <v>120</v>
      </c>
      <c r="B37" s="73">
        <v>545</v>
      </c>
      <c r="C37" s="72">
        <v>0.03</v>
      </c>
      <c r="D37" s="73">
        <v>505</v>
      </c>
      <c r="E37" s="73">
        <v>350</v>
      </c>
      <c r="F37" s="73">
        <v>135</v>
      </c>
      <c r="G37" s="73">
        <v>20</v>
      </c>
      <c r="H37" s="72">
        <v>0.7</v>
      </c>
      <c r="I37" s="72">
        <v>0.27</v>
      </c>
      <c r="J37" s="72">
        <v>0.04</v>
      </c>
    </row>
    <row r="38" spans="1:10" x14ac:dyDescent="0.35">
      <c r="A38" s="66" t="s">
        <v>121</v>
      </c>
      <c r="B38" s="73">
        <v>3795</v>
      </c>
      <c r="C38" s="72">
        <v>0.03</v>
      </c>
      <c r="D38" s="73">
        <v>3570</v>
      </c>
      <c r="E38" s="73">
        <v>2530</v>
      </c>
      <c r="F38" s="73">
        <v>865</v>
      </c>
      <c r="G38" s="73">
        <v>180</v>
      </c>
      <c r="H38" s="72">
        <v>0.71</v>
      </c>
      <c r="I38" s="72">
        <v>0.24</v>
      </c>
      <c r="J38" s="72">
        <v>0.05</v>
      </c>
    </row>
    <row r="39" spans="1:10" x14ac:dyDescent="0.35">
      <c r="A39" s="66" t="s">
        <v>122</v>
      </c>
      <c r="B39" s="73">
        <v>3400</v>
      </c>
      <c r="C39" s="72">
        <v>0.03</v>
      </c>
      <c r="D39" s="73">
        <v>3215</v>
      </c>
      <c r="E39" s="73">
        <v>2295</v>
      </c>
      <c r="F39" s="73">
        <v>860</v>
      </c>
      <c r="G39" s="73">
        <v>60</v>
      </c>
      <c r="H39" s="72">
        <v>0.71</v>
      </c>
      <c r="I39" s="72">
        <v>0.27</v>
      </c>
      <c r="J39" s="72">
        <v>0.02</v>
      </c>
    </row>
    <row r="40" spans="1:10" x14ac:dyDescent="0.35">
      <c r="A40" s="66" t="s">
        <v>123</v>
      </c>
      <c r="B40" s="73">
        <v>320</v>
      </c>
      <c r="C40" s="72">
        <v>0.03</v>
      </c>
      <c r="D40" s="73">
        <v>535</v>
      </c>
      <c r="E40" s="73">
        <v>365</v>
      </c>
      <c r="F40" s="73">
        <v>155</v>
      </c>
      <c r="G40" s="73">
        <v>15</v>
      </c>
      <c r="H40" s="72">
        <v>0.68</v>
      </c>
      <c r="I40" s="72">
        <v>0.28999999999999998</v>
      </c>
      <c r="J40" s="72">
        <v>0.03</v>
      </c>
    </row>
    <row r="41" spans="1:10" x14ac:dyDescent="0.35">
      <c r="A41" s="66" t="s">
        <v>249</v>
      </c>
      <c r="B41" s="73">
        <v>8060</v>
      </c>
      <c r="C41" s="72">
        <v>0.03</v>
      </c>
      <c r="D41" s="73">
        <v>7830</v>
      </c>
      <c r="E41" s="73">
        <v>5545</v>
      </c>
      <c r="F41" s="73">
        <v>2015</v>
      </c>
      <c r="G41" s="73">
        <v>270</v>
      </c>
      <c r="H41" s="72">
        <v>0.71</v>
      </c>
      <c r="I41" s="72">
        <v>0.26</v>
      </c>
      <c r="J41" s="72">
        <v>0.03</v>
      </c>
    </row>
    <row r="42" spans="1:10" x14ac:dyDescent="0.35">
      <c r="A42" s="66" t="s">
        <v>124</v>
      </c>
      <c r="B42" s="73">
        <v>170</v>
      </c>
      <c r="C42" s="72">
        <v>0.01</v>
      </c>
      <c r="D42" s="73">
        <v>160</v>
      </c>
      <c r="E42" s="73">
        <v>115</v>
      </c>
      <c r="F42" s="73">
        <v>45</v>
      </c>
      <c r="G42" s="73">
        <v>5</v>
      </c>
      <c r="H42" s="72">
        <v>0.71</v>
      </c>
      <c r="I42" s="72">
        <v>0.27</v>
      </c>
      <c r="J42" s="72">
        <v>0.03</v>
      </c>
    </row>
    <row r="43" spans="1:10" x14ac:dyDescent="0.35">
      <c r="A43" s="66" t="s">
        <v>125</v>
      </c>
      <c r="B43" s="73">
        <v>1195</v>
      </c>
      <c r="C43" s="72">
        <v>0.01</v>
      </c>
      <c r="D43" s="73">
        <v>1105</v>
      </c>
      <c r="E43" s="73">
        <v>775</v>
      </c>
      <c r="F43" s="73">
        <v>295</v>
      </c>
      <c r="G43" s="73">
        <v>35</v>
      </c>
      <c r="H43" s="72">
        <v>0.7</v>
      </c>
      <c r="I43" s="72">
        <v>0.27</v>
      </c>
      <c r="J43" s="72">
        <v>0.03</v>
      </c>
    </row>
    <row r="44" spans="1:10" x14ac:dyDescent="0.35">
      <c r="A44" s="66" t="s">
        <v>126</v>
      </c>
      <c r="B44" s="73">
        <v>1215</v>
      </c>
      <c r="C44" s="72">
        <v>0.01</v>
      </c>
      <c r="D44" s="73">
        <v>1155</v>
      </c>
      <c r="E44" s="73">
        <v>805</v>
      </c>
      <c r="F44" s="73">
        <v>335</v>
      </c>
      <c r="G44" s="73">
        <v>15</v>
      </c>
      <c r="H44" s="72">
        <v>0.69</v>
      </c>
      <c r="I44" s="72">
        <v>0.28999999999999998</v>
      </c>
      <c r="J44" s="72">
        <v>0.01</v>
      </c>
    </row>
    <row r="45" spans="1:10" x14ac:dyDescent="0.35">
      <c r="A45" s="66" t="s">
        <v>127</v>
      </c>
      <c r="B45" s="73">
        <v>100</v>
      </c>
      <c r="C45" s="72">
        <v>0.01</v>
      </c>
      <c r="D45" s="73">
        <v>190</v>
      </c>
      <c r="E45" s="73">
        <v>105</v>
      </c>
      <c r="F45" s="73">
        <v>85</v>
      </c>
      <c r="G45" s="73">
        <v>0</v>
      </c>
      <c r="H45" s="72">
        <v>0.55000000000000004</v>
      </c>
      <c r="I45" s="72">
        <v>0.45</v>
      </c>
      <c r="J45" s="72">
        <v>0</v>
      </c>
    </row>
    <row r="46" spans="1:10" x14ac:dyDescent="0.35">
      <c r="A46" s="66" t="s">
        <v>250</v>
      </c>
      <c r="B46" s="73">
        <v>2680</v>
      </c>
      <c r="C46" s="72">
        <v>0.01</v>
      </c>
      <c r="D46" s="73">
        <v>2610</v>
      </c>
      <c r="E46" s="73">
        <v>1790</v>
      </c>
      <c r="F46" s="73">
        <v>760</v>
      </c>
      <c r="G46" s="73">
        <v>55</v>
      </c>
      <c r="H46" s="72">
        <v>0.69</v>
      </c>
      <c r="I46" s="72">
        <v>0.28999999999999998</v>
      </c>
      <c r="J46" s="72">
        <v>0.02</v>
      </c>
    </row>
    <row r="47" spans="1:10" x14ac:dyDescent="0.35">
      <c r="A47" s="66" t="s">
        <v>128</v>
      </c>
      <c r="B47" s="73">
        <v>300</v>
      </c>
      <c r="C47" s="72">
        <v>0.02</v>
      </c>
      <c r="D47" s="73">
        <v>275</v>
      </c>
      <c r="E47" s="73">
        <v>195</v>
      </c>
      <c r="F47" s="73">
        <v>75</v>
      </c>
      <c r="G47" s="73">
        <v>5</v>
      </c>
      <c r="H47" s="72">
        <v>0.71</v>
      </c>
      <c r="I47" s="72">
        <v>0.27</v>
      </c>
      <c r="J47" s="72">
        <v>0.02</v>
      </c>
    </row>
    <row r="48" spans="1:10" x14ac:dyDescent="0.35">
      <c r="A48" s="66" t="s">
        <v>129</v>
      </c>
      <c r="B48" s="73">
        <v>2070</v>
      </c>
      <c r="C48" s="72">
        <v>0.02</v>
      </c>
      <c r="D48" s="73">
        <v>1935</v>
      </c>
      <c r="E48" s="73">
        <v>1345</v>
      </c>
      <c r="F48" s="73">
        <v>520</v>
      </c>
      <c r="G48" s="73">
        <v>70</v>
      </c>
      <c r="H48" s="72">
        <v>0.69</v>
      </c>
      <c r="I48" s="72">
        <v>0.27</v>
      </c>
      <c r="J48" s="72">
        <v>0.04</v>
      </c>
    </row>
    <row r="49" spans="1:10" x14ac:dyDescent="0.35">
      <c r="A49" s="66" t="s">
        <v>130</v>
      </c>
      <c r="B49" s="73">
        <v>1915</v>
      </c>
      <c r="C49" s="72">
        <v>0.02</v>
      </c>
      <c r="D49" s="73">
        <v>1825</v>
      </c>
      <c r="E49" s="73">
        <v>1260</v>
      </c>
      <c r="F49" s="73">
        <v>550</v>
      </c>
      <c r="G49" s="73">
        <v>15</v>
      </c>
      <c r="H49" s="72">
        <v>0.69</v>
      </c>
      <c r="I49" s="72">
        <v>0.3</v>
      </c>
      <c r="J49" s="72">
        <v>0.01</v>
      </c>
    </row>
    <row r="50" spans="1:10" x14ac:dyDescent="0.35">
      <c r="A50" s="66" t="s">
        <v>131</v>
      </c>
      <c r="B50" s="73">
        <v>170</v>
      </c>
      <c r="C50" s="72">
        <v>0.02</v>
      </c>
      <c r="D50" s="73">
        <v>295</v>
      </c>
      <c r="E50" s="73">
        <v>195</v>
      </c>
      <c r="F50" s="73">
        <v>95</v>
      </c>
      <c r="G50" s="73">
        <v>5</v>
      </c>
      <c r="H50" s="72">
        <v>0.66</v>
      </c>
      <c r="I50" s="72">
        <v>0.32</v>
      </c>
      <c r="J50" s="72">
        <v>0.02</v>
      </c>
    </row>
    <row r="51" spans="1:10" x14ac:dyDescent="0.35">
      <c r="A51" s="66" t="s">
        <v>251</v>
      </c>
      <c r="B51" s="73">
        <v>4455</v>
      </c>
      <c r="C51" s="72">
        <v>0.02</v>
      </c>
      <c r="D51" s="73">
        <v>4330</v>
      </c>
      <c r="E51" s="73">
        <v>2990</v>
      </c>
      <c r="F51" s="73">
        <v>1240</v>
      </c>
      <c r="G51" s="73">
        <v>100</v>
      </c>
      <c r="H51" s="72">
        <v>0.69</v>
      </c>
      <c r="I51" s="72">
        <v>0.28999999999999998</v>
      </c>
      <c r="J51" s="72">
        <v>0.02</v>
      </c>
    </row>
    <row r="52" spans="1:10" x14ac:dyDescent="0.35">
      <c r="A52" s="66" t="s">
        <v>132</v>
      </c>
      <c r="B52" s="73">
        <v>180</v>
      </c>
      <c r="C52" s="72">
        <v>0.01</v>
      </c>
      <c r="D52" s="73">
        <v>165</v>
      </c>
      <c r="E52" s="73">
        <v>120</v>
      </c>
      <c r="F52" s="73">
        <v>40</v>
      </c>
      <c r="G52" s="73">
        <v>5</v>
      </c>
      <c r="H52" s="72">
        <v>0.72</v>
      </c>
      <c r="I52" s="72">
        <v>0.24</v>
      </c>
      <c r="J52" s="72">
        <v>0.04</v>
      </c>
    </row>
    <row r="53" spans="1:10" x14ac:dyDescent="0.35">
      <c r="A53" s="66" t="s">
        <v>133</v>
      </c>
      <c r="B53" s="73">
        <v>1065</v>
      </c>
      <c r="C53" s="72">
        <v>0.01</v>
      </c>
      <c r="D53" s="73">
        <v>1015</v>
      </c>
      <c r="E53" s="73">
        <v>700</v>
      </c>
      <c r="F53" s="73">
        <v>280</v>
      </c>
      <c r="G53" s="73">
        <v>35</v>
      </c>
      <c r="H53" s="72">
        <v>0.69</v>
      </c>
      <c r="I53" s="72">
        <v>0.28000000000000003</v>
      </c>
      <c r="J53" s="72">
        <v>0.03</v>
      </c>
    </row>
    <row r="54" spans="1:10" x14ac:dyDescent="0.35">
      <c r="A54" s="66" t="s">
        <v>134</v>
      </c>
      <c r="B54" s="73">
        <v>1070</v>
      </c>
      <c r="C54" s="72">
        <v>0.01</v>
      </c>
      <c r="D54" s="73">
        <v>1005</v>
      </c>
      <c r="E54" s="73">
        <v>680</v>
      </c>
      <c r="F54" s="73">
        <v>310</v>
      </c>
      <c r="G54" s="73">
        <v>20</v>
      </c>
      <c r="H54" s="72">
        <v>0.67</v>
      </c>
      <c r="I54" s="72">
        <v>0.31</v>
      </c>
      <c r="J54" s="72">
        <v>0.02</v>
      </c>
    </row>
    <row r="55" spans="1:10" x14ac:dyDescent="0.35">
      <c r="A55" s="66" t="s">
        <v>135</v>
      </c>
      <c r="B55" s="73">
        <v>100</v>
      </c>
      <c r="C55" s="72">
        <v>0.01</v>
      </c>
      <c r="D55" s="73">
        <v>155</v>
      </c>
      <c r="E55" s="73">
        <v>85</v>
      </c>
      <c r="F55" s="73">
        <v>65</v>
      </c>
      <c r="G55" s="73">
        <v>5</v>
      </c>
      <c r="H55" s="72">
        <v>0.54</v>
      </c>
      <c r="I55" s="72">
        <v>0.43</v>
      </c>
      <c r="J55" s="72">
        <v>0.03</v>
      </c>
    </row>
    <row r="56" spans="1:10" x14ac:dyDescent="0.35">
      <c r="A56" s="66" t="s">
        <v>252</v>
      </c>
      <c r="B56" s="73">
        <v>2415</v>
      </c>
      <c r="C56" s="72">
        <v>0.01</v>
      </c>
      <c r="D56" s="73">
        <v>2340</v>
      </c>
      <c r="E56" s="73">
        <v>1580</v>
      </c>
      <c r="F56" s="73">
        <v>695</v>
      </c>
      <c r="G56" s="73">
        <v>60</v>
      </c>
      <c r="H56" s="72">
        <v>0.68</v>
      </c>
      <c r="I56" s="72">
        <v>0.3</v>
      </c>
      <c r="J56" s="72">
        <v>0.03</v>
      </c>
    </row>
    <row r="57" spans="1:10" x14ac:dyDescent="0.35">
      <c r="A57" s="66" t="s">
        <v>136</v>
      </c>
      <c r="B57" s="73">
        <v>1030</v>
      </c>
      <c r="C57" s="72">
        <v>0.05</v>
      </c>
      <c r="D57" s="73">
        <v>935</v>
      </c>
      <c r="E57" s="73">
        <v>645</v>
      </c>
      <c r="F57" s="73">
        <v>270</v>
      </c>
      <c r="G57" s="73">
        <v>20</v>
      </c>
      <c r="H57" s="72">
        <v>0.69</v>
      </c>
      <c r="I57" s="72">
        <v>0.28999999999999998</v>
      </c>
      <c r="J57" s="72">
        <v>0.02</v>
      </c>
    </row>
    <row r="58" spans="1:10" x14ac:dyDescent="0.35">
      <c r="A58" s="66" t="s">
        <v>137</v>
      </c>
      <c r="B58" s="73">
        <v>7120</v>
      </c>
      <c r="C58" s="72">
        <v>0.06</v>
      </c>
      <c r="D58" s="73">
        <v>6640</v>
      </c>
      <c r="E58" s="73">
        <v>4670</v>
      </c>
      <c r="F58" s="73">
        <v>1705</v>
      </c>
      <c r="G58" s="73">
        <v>265</v>
      </c>
      <c r="H58" s="72">
        <v>0.7</v>
      </c>
      <c r="I58" s="72">
        <v>0.26</v>
      </c>
      <c r="J58" s="72">
        <v>0.04</v>
      </c>
    </row>
    <row r="59" spans="1:10" x14ac:dyDescent="0.35">
      <c r="A59" s="66" t="s">
        <v>138</v>
      </c>
      <c r="B59" s="73">
        <v>8005</v>
      </c>
      <c r="C59" s="72">
        <v>7.0000000000000007E-2</v>
      </c>
      <c r="D59" s="73">
        <v>7535</v>
      </c>
      <c r="E59" s="73">
        <v>5170</v>
      </c>
      <c r="F59" s="73">
        <v>2210</v>
      </c>
      <c r="G59" s="73">
        <v>150</v>
      </c>
      <c r="H59" s="72">
        <v>0.69</v>
      </c>
      <c r="I59" s="72">
        <v>0.28999999999999998</v>
      </c>
      <c r="J59" s="72">
        <v>0.02</v>
      </c>
    </row>
    <row r="60" spans="1:10" x14ac:dyDescent="0.35">
      <c r="A60" s="66" t="s">
        <v>139</v>
      </c>
      <c r="B60" s="73">
        <v>705</v>
      </c>
      <c r="C60" s="72">
        <v>7.0000000000000007E-2</v>
      </c>
      <c r="D60" s="73">
        <v>1210</v>
      </c>
      <c r="E60" s="73">
        <v>770</v>
      </c>
      <c r="F60" s="73">
        <v>415</v>
      </c>
      <c r="G60" s="73">
        <v>25</v>
      </c>
      <c r="H60" s="72">
        <v>0.64</v>
      </c>
      <c r="I60" s="72">
        <v>0.34</v>
      </c>
      <c r="J60" s="72">
        <v>0.02</v>
      </c>
    </row>
    <row r="61" spans="1:10" x14ac:dyDescent="0.35">
      <c r="A61" s="66" t="s">
        <v>253</v>
      </c>
      <c r="B61" s="73">
        <v>16860</v>
      </c>
      <c r="C61" s="72">
        <v>0.06</v>
      </c>
      <c r="D61" s="73">
        <v>16320</v>
      </c>
      <c r="E61" s="73">
        <v>11260</v>
      </c>
      <c r="F61" s="73">
        <v>4595</v>
      </c>
      <c r="G61" s="73">
        <v>460</v>
      </c>
      <c r="H61" s="72">
        <v>0.69</v>
      </c>
      <c r="I61" s="72">
        <v>0.28000000000000003</v>
      </c>
      <c r="J61" s="72">
        <v>0.03</v>
      </c>
    </row>
    <row r="62" spans="1:10" x14ac:dyDescent="0.35">
      <c r="A62" s="66" t="s">
        <v>140</v>
      </c>
      <c r="B62" s="73">
        <v>520</v>
      </c>
      <c r="C62" s="72">
        <v>0.03</v>
      </c>
      <c r="D62" s="73">
        <v>455</v>
      </c>
      <c r="E62" s="73">
        <v>315</v>
      </c>
      <c r="F62" s="73">
        <v>125</v>
      </c>
      <c r="G62" s="73">
        <v>15</v>
      </c>
      <c r="H62" s="72">
        <v>0.69</v>
      </c>
      <c r="I62" s="72">
        <v>0.28000000000000003</v>
      </c>
      <c r="J62" s="72">
        <v>0.03</v>
      </c>
    </row>
    <row r="63" spans="1:10" x14ac:dyDescent="0.35">
      <c r="A63" s="66" t="s">
        <v>141</v>
      </c>
      <c r="B63" s="73">
        <v>3555</v>
      </c>
      <c r="C63" s="72">
        <v>0.03</v>
      </c>
      <c r="D63" s="73">
        <v>3370</v>
      </c>
      <c r="E63" s="73">
        <v>2425</v>
      </c>
      <c r="F63" s="73">
        <v>795</v>
      </c>
      <c r="G63" s="73">
        <v>155</v>
      </c>
      <c r="H63" s="72">
        <v>0.72</v>
      </c>
      <c r="I63" s="72">
        <v>0.24</v>
      </c>
      <c r="J63" s="72">
        <v>0.05</v>
      </c>
    </row>
    <row r="64" spans="1:10" x14ac:dyDescent="0.35">
      <c r="A64" s="66" t="s">
        <v>142</v>
      </c>
      <c r="B64" s="73">
        <v>3315</v>
      </c>
      <c r="C64" s="72">
        <v>0.03</v>
      </c>
      <c r="D64" s="73">
        <v>3150</v>
      </c>
      <c r="E64" s="73">
        <v>2260</v>
      </c>
      <c r="F64" s="73">
        <v>840</v>
      </c>
      <c r="G64" s="73">
        <v>50</v>
      </c>
      <c r="H64" s="72">
        <v>0.72</v>
      </c>
      <c r="I64" s="72">
        <v>0.27</v>
      </c>
      <c r="J64" s="72">
        <v>0.02</v>
      </c>
    </row>
    <row r="65" spans="1:10" x14ac:dyDescent="0.35">
      <c r="A65" s="66" t="s">
        <v>143</v>
      </c>
      <c r="B65" s="73">
        <v>270</v>
      </c>
      <c r="C65" s="72">
        <v>0.03</v>
      </c>
      <c r="D65" s="73">
        <v>465</v>
      </c>
      <c r="E65" s="73">
        <v>320</v>
      </c>
      <c r="F65" s="73">
        <v>140</v>
      </c>
      <c r="G65" s="73">
        <v>5</v>
      </c>
      <c r="H65" s="72">
        <v>0.68</v>
      </c>
      <c r="I65" s="72">
        <v>0.3</v>
      </c>
      <c r="J65" s="72">
        <v>0.02</v>
      </c>
    </row>
    <row r="66" spans="1:10" x14ac:dyDescent="0.35">
      <c r="A66" s="66" t="s">
        <v>254</v>
      </c>
      <c r="B66" s="73">
        <v>7655</v>
      </c>
      <c r="C66" s="72">
        <v>0.03</v>
      </c>
      <c r="D66" s="73">
        <v>7445</v>
      </c>
      <c r="E66" s="73">
        <v>5315</v>
      </c>
      <c r="F66" s="73">
        <v>1900</v>
      </c>
      <c r="G66" s="73">
        <v>225</v>
      </c>
      <c r="H66" s="72">
        <v>0.71</v>
      </c>
      <c r="I66" s="72">
        <v>0.26</v>
      </c>
      <c r="J66" s="72">
        <v>0.03</v>
      </c>
    </row>
    <row r="67" spans="1:10" x14ac:dyDescent="0.35">
      <c r="A67" s="66" t="s">
        <v>144</v>
      </c>
      <c r="B67" s="73">
        <v>1315</v>
      </c>
      <c r="C67" s="72">
        <v>7.0000000000000007E-2</v>
      </c>
      <c r="D67" s="73">
        <v>1220</v>
      </c>
      <c r="E67" s="73">
        <v>900</v>
      </c>
      <c r="F67" s="73">
        <v>305</v>
      </c>
      <c r="G67" s="73">
        <v>15</v>
      </c>
      <c r="H67" s="72">
        <v>0.74</v>
      </c>
      <c r="I67" s="72">
        <v>0.25</v>
      </c>
      <c r="J67" s="72">
        <v>0.01</v>
      </c>
    </row>
    <row r="68" spans="1:10" x14ac:dyDescent="0.35">
      <c r="A68" s="66" t="s">
        <v>145</v>
      </c>
      <c r="B68" s="73">
        <v>9465</v>
      </c>
      <c r="C68" s="72">
        <v>7.0000000000000007E-2</v>
      </c>
      <c r="D68" s="73">
        <v>8865</v>
      </c>
      <c r="E68" s="73">
        <v>6300</v>
      </c>
      <c r="F68" s="73">
        <v>2155</v>
      </c>
      <c r="G68" s="73">
        <v>410</v>
      </c>
      <c r="H68" s="72">
        <v>0.71</v>
      </c>
      <c r="I68" s="72">
        <v>0.24</v>
      </c>
      <c r="J68" s="72">
        <v>0.05</v>
      </c>
    </row>
    <row r="69" spans="1:10" x14ac:dyDescent="0.35">
      <c r="A69" s="66" t="s">
        <v>146</v>
      </c>
      <c r="B69" s="73">
        <v>8485</v>
      </c>
      <c r="C69" s="72">
        <v>7.0000000000000007E-2</v>
      </c>
      <c r="D69" s="73">
        <v>8125</v>
      </c>
      <c r="E69" s="73">
        <v>5820</v>
      </c>
      <c r="F69" s="73">
        <v>2200</v>
      </c>
      <c r="G69" s="73">
        <v>105</v>
      </c>
      <c r="H69" s="72">
        <v>0.72</v>
      </c>
      <c r="I69" s="72">
        <v>0.27</v>
      </c>
      <c r="J69" s="72">
        <v>0.01</v>
      </c>
    </row>
    <row r="70" spans="1:10" x14ac:dyDescent="0.35">
      <c r="A70" s="66" t="s">
        <v>147</v>
      </c>
      <c r="B70" s="73">
        <v>785</v>
      </c>
      <c r="C70" s="72">
        <v>0.08</v>
      </c>
      <c r="D70" s="73">
        <v>1285</v>
      </c>
      <c r="E70" s="73">
        <v>860</v>
      </c>
      <c r="F70" s="73">
        <v>395</v>
      </c>
      <c r="G70" s="73">
        <v>30</v>
      </c>
      <c r="H70" s="72">
        <v>0.67</v>
      </c>
      <c r="I70" s="72">
        <v>0.31</v>
      </c>
      <c r="J70" s="72">
        <v>0.02</v>
      </c>
    </row>
    <row r="71" spans="1:10" x14ac:dyDescent="0.35">
      <c r="A71" s="66" t="s">
        <v>255</v>
      </c>
      <c r="B71" s="73">
        <v>20045</v>
      </c>
      <c r="C71" s="72">
        <v>7.0000000000000007E-2</v>
      </c>
      <c r="D71" s="73">
        <v>19490</v>
      </c>
      <c r="E71" s="73">
        <v>13880</v>
      </c>
      <c r="F71" s="73">
        <v>5050</v>
      </c>
      <c r="G71" s="73">
        <v>560</v>
      </c>
      <c r="H71" s="72">
        <v>0.71</v>
      </c>
      <c r="I71" s="72">
        <v>0.26</v>
      </c>
      <c r="J71" s="72">
        <v>0.03</v>
      </c>
    </row>
    <row r="72" spans="1:10" x14ac:dyDescent="0.35">
      <c r="A72" s="66" t="s">
        <v>148</v>
      </c>
      <c r="B72" s="73">
        <v>2700</v>
      </c>
      <c r="C72" s="72">
        <v>0.14000000000000001</v>
      </c>
      <c r="D72" s="73">
        <v>2435</v>
      </c>
      <c r="E72" s="73">
        <v>1830</v>
      </c>
      <c r="F72" s="73">
        <v>545</v>
      </c>
      <c r="G72" s="73">
        <v>60</v>
      </c>
      <c r="H72" s="72">
        <v>0.75</v>
      </c>
      <c r="I72" s="72">
        <v>0.22</v>
      </c>
      <c r="J72" s="72">
        <v>0.02</v>
      </c>
    </row>
    <row r="73" spans="1:10" x14ac:dyDescent="0.35">
      <c r="A73" s="66" t="s">
        <v>149</v>
      </c>
      <c r="B73" s="73">
        <v>21750</v>
      </c>
      <c r="C73" s="72">
        <v>0.17</v>
      </c>
      <c r="D73" s="73">
        <v>20380</v>
      </c>
      <c r="E73" s="73">
        <v>13880</v>
      </c>
      <c r="F73" s="73">
        <v>5550</v>
      </c>
      <c r="G73" s="73">
        <v>955</v>
      </c>
      <c r="H73" s="72">
        <v>0.68</v>
      </c>
      <c r="I73" s="72">
        <v>0.27</v>
      </c>
      <c r="J73" s="72">
        <v>0.05</v>
      </c>
    </row>
    <row r="74" spans="1:10" x14ac:dyDescent="0.35">
      <c r="A74" s="66" t="s">
        <v>150</v>
      </c>
      <c r="B74" s="73">
        <v>19760</v>
      </c>
      <c r="C74" s="72">
        <v>0.17</v>
      </c>
      <c r="D74" s="73">
        <v>18810</v>
      </c>
      <c r="E74" s="73">
        <v>12725</v>
      </c>
      <c r="F74" s="73">
        <v>5725</v>
      </c>
      <c r="G74" s="73">
        <v>360</v>
      </c>
      <c r="H74" s="72">
        <v>0.68</v>
      </c>
      <c r="I74" s="72">
        <v>0.3</v>
      </c>
      <c r="J74" s="72">
        <v>0.02</v>
      </c>
    </row>
    <row r="75" spans="1:10" x14ac:dyDescent="0.35">
      <c r="A75" s="66" t="s">
        <v>151</v>
      </c>
      <c r="B75" s="73">
        <v>1755</v>
      </c>
      <c r="C75" s="72">
        <v>0.17</v>
      </c>
      <c r="D75" s="73">
        <v>2945</v>
      </c>
      <c r="E75" s="73">
        <v>1845</v>
      </c>
      <c r="F75" s="73">
        <v>1040</v>
      </c>
      <c r="G75" s="73">
        <v>60</v>
      </c>
      <c r="H75" s="72">
        <v>0.63</v>
      </c>
      <c r="I75" s="72">
        <v>0.35</v>
      </c>
      <c r="J75" s="72">
        <v>0.02</v>
      </c>
    </row>
    <row r="76" spans="1:10" x14ac:dyDescent="0.35">
      <c r="A76" s="66" t="s">
        <v>256</v>
      </c>
      <c r="B76" s="73">
        <v>45965</v>
      </c>
      <c r="C76" s="72">
        <v>0.17</v>
      </c>
      <c r="D76" s="73">
        <v>44565</v>
      </c>
      <c r="E76" s="73">
        <v>30275</v>
      </c>
      <c r="F76" s="73">
        <v>12860</v>
      </c>
      <c r="G76" s="73">
        <v>1430</v>
      </c>
      <c r="H76" s="72">
        <v>0.68</v>
      </c>
      <c r="I76" s="72">
        <v>0.28999999999999998</v>
      </c>
      <c r="J76" s="72">
        <v>0.03</v>
      </c>
    </row>
    <row r="77" spans="1:10" x14ac:dyDescent="0.35">
      <c r="A77" s="66" t="s">
        <v>152</v>
      </c>
      <c r="B77" s="73">
        <v>620</v>
      </c>
      <c r="C77" s="72">
        <v>0.03</v>
      </c>
      <c r="D77" s="73">
        <v>575</v>
      </c>
      <c r="E77" s="73">
        <v>390</v>
      </c>
      <c r="F77" s="73">
        <v>170</v>
      </c>
      <c r="G77" s="73">
        <v>10</v>
      </c>
      <c r="H77" s="72">
        <v>0.68</v>
      </c>
      <c r="I77" s="72">
        <v>0.3</v>
      </c>
      <c r="J77" s="72">
        <v>0.02</v>
      </c>
    </row>
    <row r="78" spans="1:10" x14ac:dyDescent="0.35">
      <c r="A78" s="66" t="s">
        <v>153</v>
      </c>
      <c r="B78" s="73">
        <v>3815</v>
      </c>
      <c r="C78" s="72">
        <v>0.03</v>
      </c>
      <c r="D78" s="73">
        <v>3580</v>
      </c>
      <c r="E78" s="73">
        <v>2550</v>
      </c>
      <c r="F78" s="73">
        <v>880</v>
      </c>
      <c r="G78" s="73">
        <v>155</v>
      </c>
      <c r="H78" s="72">
        <v>0.71</v>
      </c>
      <c r="I78" s="72">
        <v>0.25</v>
      </c>
      <c r="J78" s="72">
        <v>0.04</v>
      </c>
    </row>
    <row r="79" spans="1:10" x14ac:dyDescent="0.35">
      <c r="A79" s="66" t="s">
        <v>154</v>
      </c>
      <c r="B79" s="73">
        <v>4190</v>
      </c>
      <c r="C79" s="72">
        <v>0.04</v>
      </c>
      <c r="D79" s="73">
        <v>3855</v>
      </c>
      <c r="E79" s="73">
        <v>2695</v>
      </c>
      <c r="F79" s="73">
        <v>1080</v>
      </c>
      <c r="G79" s="73">
        <v>80</v>
      </c>
      <c r="H79" s="72">
        <v>0.7</v>
      </c>
      <c r="I79" s="72">
        <v>0.28000000000000003</v>
      </c>
      <c r="J79" s="72">
        <v>0.02</v>
      </c>
    </row>
    <row r="80" spans="1:10" x14ac:dyDescent="0.35">
      <c r="A80" s="66" t="s">
        <v>155</v>
      </c>
      <c r="B80" s="73">
        <v>340</v>
      </c>
      <c r="C80" s="72">
        <v>0.03</v>
      </c>
      <c r="D80" s="73">
        <v>675</v>
      </c>
      <c r="E80" s="73">
        <v>415</v>
      </c>
      <c r="F80" s="73">
        <v>250</v>
      </c>
      <c r="G80" s="73">
        <v>10</v>
      </c>
      <c r="H80" s="72">
        <v>0.61</v>
      </c>
      <c r="I80" s="72">
        <v>0.37</v>
      </c>
      <c r="J80" s="72">
        <v>0.01</v>
      </c>
    </row>
    <row r="81" spans="1:10" x14ac:dyDescent="0.35">
      <c r="A81" s="66" t="s">
        <v>257</v>
      </c>
      <c r="B81" s="73">
        <v>8960</v>
      </c>
      <c r="C81" s="72">
        <v>0.03</v>
      </c>
      <c r="D81" s="73">
        <v>8690</v>
      </c>
      <c r="E81" s="73">
        <v>6050</v>
      </c>
      <c r="F81" s="73">
        <v>2380</v>
      </c>
      <c r="G81" s="73">
        <v>255</v>
      </c>
      <c r="H81" s="72">
        <v>0.7</v>
      </c>
      <c r="I81" s="72">
        <v>0.27</v>
      </c>
      <c r="J81" s="72">
        <v>0.03</v>
      </c>
    </row>
    <row r="82" spans="1:10" x14ac:dyDescent="0.35">
      <c r="A82" s="66" t="s">
        <v>156</v>
      </c>
      <c r="B82" s="73">
        <v>330</v>
      </c>
      <c r="C82" s="72">
        <v>0.02</v>
      </c>
      <c r="D82" s="73">
        <v>315</v>
      </c>
      <c r="E82" s="73">
        <v>230</v>
      </c>
      <c r="F82" s="73">
        <v>75</v>
      </c>
      <c r="G82" s="73">
        <v>5</v>
      </c>
      <c r="H82" s="72">
        <v>0.74</v>
      </c>
      <c r="I82" s="72">
        <v>0.24</v>
      </c>
      <c r="J82" s="72">
        <v>0.02</v>
      </c>
    </row>
    <row r="83" spans="1:10" x14ac:dyDescent="0.35">
      <c r="A83" s="66" t="s">
        <v>157</v>
      </c>
      <c r="B83" s="73">
        <v>2290</v>
      </c>
      <c r="C83" s="72">
        <v>0.02</v>
      </c>
      <c r="D83" s="73">
        <v>2185</v>
      </c>
      <c r="E83" s="73">
        <v>1500</v>
      </c>
      <c r="F83" s="73">
        <v>615</v>
      </c>
      <c r="G83" s="73">
        <v>75</v>
      </c>
      <c r="H83" s="72">
        <v>0.69</v>
      </c>
      <c r="I83" s="72">
        <v>0.28000000000000003</v>
      </c>
      <c r="J83" s="72">
        <v>0.03</v>
      </c>
    </row>
    <row r="84" spans="1:10" x14ac:dyDescent="0.35">
      <c r="A84" s="66" t="s">
        <v>158</v>
      </c>
      <c r="B84" s="73">
        <v>1835</v>
      </c>
      <c r="C84" s="72">
        <v>0.02</v>
      </c>
      <c r="D84" s="73">
        <v>1765</v>
      </c>
      <c r="E84" s="73">
        <v>1230</v>
      </c>
      <c r="F84" s="73">
        <v>510</v>
      </c>
      <c r="G84" s="73">
        <v>30</v>
      </c>
      <c r="H84" s="72">
        <v>0.7</v>
      </c>
      <c r="I84" s="72">
        <v>0.28999999999999998</v>
      </c>
      <c r="J84" s="72">
        <v>0.02</v>
      </c>
    </row>
    <row r="85" spans="1:10" x14ac:dyDescent="0.35">
      <c r="A85" s="66" t="s">
        <v>159</v>
      </c>
      <c r="B85" s="73">
        <v>160</v>
      </c>
      <c r="C85" s="72">
        <v>0.02</v>
      </c>
      <c r="D85" s="73">
        <v>245</v>
      </c>
      <c r="E85" s="73">
        <v>165</v>
      </c>
      <c r="F85" s="73">
        <v>75</v>
      </c>
      <c r="G85" s="73">
        <v>5</v>
      </c>
      <c r="H85" s="72">
        <v>0.67</v>
      </c>
      <c r="I85" s="72">
        <v>0.3</v>
      </c>
      <c r="J85" s="72">
        <v>0.03</v>
      </c>
    </row>
    <row r="86" spans="1:10" x14ac:dyDescent="0.35">
      <c r="A86" s="66" t="s">
        <v>258</v>
      </c>
      <c r="B86" s="73">
        <v>4620</v>
      </c>
      <c r="C86" s="72">
        <v>0.02</v>
      </c>
      <c r="D86" s="73">
        <v>4515</v>
      </c>
      <c r="E86" s="73">
        <v>3125</v>
      </c>
      <c r="F86" s="73">
        <v>1275</v>
      </c>
      <c r="G86" s="73">
        <v>115</v>
      </c>
      <c r="H86" s="72">
        <v>0.69</v>
      </c>
      <c r="I86" s="72">
        <v>0.28000000000000003</v>
      </c>
      <c r="J86" s="72">
        <v>0.03</v>
      </c>
    </row>
    <row r="87" spans="1:10" x14ac:dyDescent="0.35">
      <c r="A87" s="66" t="s">
        <v>160</v>
      </c>
      <c r="B87" s="73">
        <v>340</v>
      </c>
      <c r="C87" s="72">
        <v>0.02</v>
      </c>
      <c r="D87" s="73">
        <v>320</v>
      </c>
      <c r="E87" s="73">
        <v>225</v>
      </c>
      <c r="F87" s="73">
        <v>90</v>
      </c>
      <c r="G87" s="73">
        <v>5</v>
      </c>
      <c r="H87" s="72">
        <v>0.71</v>
      </c>
      <c r="I87" s="72">
        <v>0.28000000000000003</v>
      </c>
      <c r="J87" s="72">
        <v>0.01</v>
      </c>
    </row>
    <row r="88" spans="1:10" x14ac:dyDescent="0.35">
      <c r="A88" s="66" t="s">
        <v>161</v>
      </c>
      <c r="B88" s="73">
        <v>2230</v>
      </c>
      <c r="C88" s="72">
        <v>0.02</v>
      </c>
      <c r="D88" s="73">
        <v>2075</v>
      </c>
      <c r="E88" s="73">
        <v>1470</v>
      </c>
      <c r="F88" s="73">
        <v>520</v>
      </c>
      <c r="G88" s="73">
        <v>80</v>
      </c>
      <c r="H88" s="72">
        <v>0.71</v>
      </c>
      <c r="I88" s="72">
        <v>0.25</v>
      </c>
      <c r="J88" s="72">
        <v>0.04</v>
      </c>
    </row>
    <row r="89" spans="1:10" x14ac:dyDescent="0.35">
      <c r="A89" s="66" t="s">
        <v>162</v>
      </c>
      <c r="B89" s="73">
        <v>2205</v>
      </c>
      <c r="C89" s="72">
        <v>0.02</v>
      </c>
      <c r="D89" s="73">
        <v>2090</v>
      </c>
      <c r="E89" s="73">
        <v>1465</v>
      </c>
      <c r="F89" s="73">
        <v>595</v>
      </c>
      <c r="G89" s="73">
        <v>30</v>
      </c>
      <c r="H89" s="72">
        <v>0.7</v>
      </c>
      <c r="I89" s="72">
        <v>0.28000000000000003</v>
      </c>
      <c r="J89" s="72">
        <v>0.01</v>
      </c>
    </row>
    <row r="90" spans="1:10" x14ac:dyDescent="0.35">
      <c r="A90" s="66" t="s">
        <v>163</v>
      </c>
      <c r="B90" s="73">
        <v>205</v>
      </c>
      <c r="C90" s="72">
        <v>0.02</v>
      </c>
      <c r="D90" s="73">
        <v>360</v>
      </c>
      <c r="E90" s="73">
        <v>225</v>
      </c>
      <c r="F90" s="73">
        <v>130</v>
      </c>
      <c r="G90" s="73">
        <v>5</v>
      </c>
      <c r="H90" s="72">
        <v>0.62</v>
      </c>
      <c r="I90" s="72">
        <v>0.36</v>
      </c>
      <c r="J90" s="72">
        <v>0.02</v>
      </c>
    </row>
    <row r="91" spans="1:10" x14ac:dyDescent="0.35">
      <c r="A91" s="66" t="s">
        <v>259</v>
      </c>
      <c r="B91" s="73">
        <v>4980</v>
      </c>
      <c r="C91" s="72">
        <v>0.02</v>
      </c>
      <c r="D91" s="73">
        <v>4840</v>
      </c>
      <c r="E91" s="73">
        <v>3380</v>
      </c>
      <c r="F91" s="73">
        <v>1335</v>
      </c>
      <c r="G91" s="73">
        <v>125</v>
      </c>
      <c r="H91" s="72">
        <v>0.7</v>
      </c>
      <c r="I91" s="72">
        <v>0.28000000000000003</v>
      </c>
      <c r="J91" s="72">
        <v>0.03</v>
      </c>
    </row>
    <row r="92" spans="1:10" x14ac:dyDescent="0.35">
      <c r="A92" s="66" t="s">
        <v>164</v>
      </c>
      <c r="B92" s="73">
        <v>285</v>
      </c>
      <c r="C92" s="72">
        <v>0.01</v>
      </c>
      <c r="D92" s="73">
        <v>260</v>
      </c>
      <c r="E92" s="73">
        <v>170</v>
      </c>
      <c r="F92" s="73">
        <v>85</v>
      </c>
      <c r="G92" s="73">
        <v>5</v>
      </c>
      <c r="H92" s="72">
        <v>0.65</v>
      </c>
      <c r="I92" s="72">
        <v>0.32</v>
      </c>
      <c r="J92" s="72">
        <v>0.03</v>
      </c>
    </row>
    <row r="93" spans="1:10" x14ac:dyDescent="0.35">
      <c r="A93" s="66" t="s">
        <v>165</v>
      </c>
      <c r="B93" s="73">
        <v>1610</v>
      </c>
      <c r="C93" s="72">
        <v>0.01</v>
      </c>
      <c r="D93" s="73">
        <v>1500</v>
      </c>
      <c r="E93" s="73">
        <v>1045</v>
      </c>
      <c r="F93" s="73">
        <v>395</v>
      </c>
      <c r="G93" s="73">
        <v>65</v>
      </c>
      <c r="H93" s="72">
        <v>0.7</v>
      </c>
      <c r="I93" s="72">
        <v>0.26</v>
      </c>
      <c r="J93" s="72">
        <v>0.04</v>
      </c>
    </row>
    <row r="94" spans="1:10" x14ac:dyDescent="0.35">
      <c r="A94" s="66" t="s">
        <v>166</v>
      </c>
      <c r="B94" s="73">
        <v>1690</v>
      </c>
      <c r="C94" s="72">
        <v>0.01</v>
      </c>
      <c r="D94" s="73">
        <v>1605</v>
      </c>
      <c r="E94" s="73">
        <v>1135</v>
      </c>
      <c r="F94" s="73">
        <v>460</v>
      </c>
      <c r="G94" s="73">
        <v>15</v>
      </c>
      <c r="H94" s="72">
        <v>0.71</v>
      </c>
      <c r="I94" s="72">
        <v>0.28999999999999998</v>
      </c>
      <c r="J94" s="72">
        <v>0.01</v>
      </c>
    </row>
    <row r="95" spans="1:10" x14ac:dyDescent="0.35">
      <c r="A95" s="66" t="s">
        <v>167</v>
      </c>
      <c r="B95" s="73">
        <v>150</v>
      </c>
      <c r="C95" s="72">
        <v>0.01</v>
      </c>
      <c r="D95" s="73">
        <v>240</v>
      </c>
      <c r="E95" s="73">
        <v>150</v>
      </c>
      <c r="F95" s="73">
        <v>85</v>
      </c>
      <c r="G95" s="73" t="s">
        <v>486</v>
      </c>
      <c r="H95" s="72">
        <v>0.63</v>
      </c>
      <c r="I95" s="72" t="s">
        <v>486</v>
      </c>
      <c r="J95" s="72" t="s">
        <v>486</v>
      </c>
    </row>
    <row r="96" spans="1:10" x14ac:dyDescent="0.35">
      <c r="A96" s="66" t="s">
        <v>260</v>
      </c>
      <c r="B96" s="73">
        <v>3730</v>
      </c>
      <c r="C96" s="72">
        <v>0.01</v>
      </c>
      <c r="D96" s="73">
        <v>3605</v>
      </c>
      <c r="E96" s="73">
        <v>2495</v>
      </c>
      <c r="F96" s="73">
        <v>1020</v>
      </c>
      <c r="G96" s="73">
        <v>90</v>
      </c>
      <c r="H96" s="72">
        <v>0.69</v>
      </c>
      <c r="I96" s="72">
        <v>0.28000000000000003</v>
      </c>
      <c r="J96" s="72">
        <v>0.02</v>
      </c>
    </row>
    <row r="97" spans="1:10" x14ac:dyDescent="0.35">
      <c r="A97" s="66" t="s">
        <v>168</v>
      </c>
      <c r="B97" s="73">
        <v>60</v>
      </c>
      <c r="C97" s="72">
        <v>0</v>
      </c>
      <c r="D97" s="73">
        <v>55</v>
      </c>
      <c r="E97" s="73">
        <v>35</v>
      </c>
      <c r="F97" s="73">
        <v>20</v>
      </c>
      <c r="G97" s="73">
        <v>0</v>
      </c>
      <c r="H97" s="72">
        <v>0.61</v>
      </c>
      <c r="I97" s="72">
        <v>0.39</v>
      </c>
      <c r="J97" s="72">
        <v>0</v>
      </c>
    </row>
    <row r="98" spans="1:10" x14ac:dyDescent="0.35">
      <c r="A98" s="66" t="s">
        <v>169</v>
      </c>
      <c r="B98" s="73">
        <v>345</v>
      </c>
      <c r="C98" s="72">
        <v>0</v>
      </c>
      <c r="D98" s="73">
        <v>330</v>
      </c>
      <c r="E98" s="73">
        <v>225</v>
      </c>
      <c r="F98" s="73">
        <v>100</v>
      </c>
      <c r="G98" s="73">
        <v>10</v>
      </c>
      <c r="H98" s="72">
        <v>0.68</v>
      </c>
      <c r="I98" s="72">
        <v>0.3</v>
      </c>
      <c r="J98" s="72">
        <v>0.02</v>
      </c>
    </row>
    <row r="99" spans="1:10" x14ac:dyDescent="0.35">
      <c r="A99" s="66" t="s">
        <v>170</v>
      </c>
      <c r="B99" s="73">
        <v>370</v>
      </c>
      <c r="C99" s="72">
        <v>0</v>
      </c>
      <c r="D99" s="73">
        <v>350</v>
      </c>
      <c r="E99" s="73">
        <v>230</v>
      </c>
      <c r="F99" s="73">
        <v>115</v>
      </c>
      <c r="G99" s="73">
        <v>10</v>
      </c>
      <c r="H99" s="72">
        <v>0.65</v>
      </c>
      <c r="I99" s="72">
        <v>0.33</v>
      </c>
      <c r="J99" s="72">
        <v>0.02</v>
      </c>
    </row>
    <row r="100" spans="1:10" x14ac:dyDescent="0.35">
      <c r="A100" s="66" t="s">
        <v>171</v>
      </c>
      <c r="B100" s="73">
        <v>35</v>
      </c>
      <c r="C100" s="72">
        <v>0</v>
      </c>
      <c r="D100" s="73">
        <v>45</v>
      </c>
      <c r="E100" s="73">
        <v>30</v>
      </c>
      <c r="F100" s="73">
        <v>15</v>
      </c>
      <c r="G100" s="73" t="s">
        <v>486</v>
      </c>
      <c r="H100" s="72">
        <v>0.65</v>
      </c>
      <c r="I100" s="72" t="s">
        <v>486</v>
      </c>
      <c r="J100" s="72" t="s">
        <v>486</v>
      </c>
    </row>
    <row r="101" spans="1:10" x14ac:dyDescent="0.35">
      <c r="A101" s="66" t="s">
        <v>261</v>
      </c>
      <c r="B101" s="73">
        <v>810</v>
      </c>
      <c r="C101" s="72">
        <v>0</v>
      </c>
      <c r="D101" s="73">
        <v>780</v>
      </c>
      <c r="E101" s="73">
        <v>515</v>
      </c>
      <c r="F101" s="73">
        <v>250</v>
      </c>
      <c r="G101" s="73">
        <v>15</v>
      </c>
      <c r="H101" s="72">
        <v>0.66</v>
      </c>
      <c r="I101" s="72">
        <v>0.32</v>
      </c>
      <c r="J101" s="72">
        <v>0.02</v>
      </c>
    </row>
    <row r="102" spans="1:10" x14ac:dyDescent="0.35">
      <c r="A102" s="66" t="s">
        <v>172</v>
      </c>
      <c r="B102" s="73">
        <v>40</v>
      </c>
      <c r="C102" s="72">
        <v>0</v>
      </c>
      <c r="D102" s="73">
        <v>30</v>
      </c>
      <c r="E102" s="73">
        <v>0</v>
      </c>
      <c r="F102" s="73" t="s">
        <v>486</v>
      </c>
      <c r="G102" s="73">
        <v>30</v>
      </c>
      <c r="H102" s="72">
        <v>0</v>
      </c>
      <c r="I102" s="72" t="s">
        <v>486</v>
      </c>
      <c r="J102" s="72" t="s">
        <v>486</v>
      </c>
    </row>
    <row r="103" spans="1:10" x14ac:dyDescent="0.35">
      <c r="A103" s="66" t="s">
        <v>173</v>
      </c>
      <c r="B103" s="73">
        <v>155</v>
      </c>
      <c r="C103" s="72">
        <v>0</v>
      </c>
      <c r="D103" s="73">
        <v>135</v>
      </c>
      <c r="E103" s="73" t="s">
        <v>486</v>
      </c>
      <c r="F103" s="73">
        <v>5</v>
      </c>
      <c r="G103" s="73">
        <v>130</v>
      </c>
      <c r="H103" s="72" t="s">
        <v>486</v>
      </c>
      <c r="I103" s="72" t="s">
        <v>486</v>
      </c>
      <c r="J103" s="72">
        <v>0.96</v>
      </c>
    </row>
    <row r="104" spans="1:10" x14ac:dyDescent="0.35">
      <c r="A104" s="66" t="s">
        <v>174</v>
      </c>
      <c r="B104" s="73">
        <v>205</v>
      </c>
      <c r="C104" s="72">
        <v>0</v>
      </c>
      <c r="D104" s="73">
        <v>60</v>
      </c>
      <c r="E104" s="73">
        <v>5</v>
      </c>
      <c r="F104" s="73" t="s">
        <v>486</v>
      </c>
      <c r="G104" s="73">
        <v>55</v>
      </c>
      <c r="H104" s="72" t="s">
        <v>486</v>
      </c>
      <c r="I104" s="72" t="s">
        <v>486</v>
      </c>
      <c r="J104" s="72">
        <v>0.92</v>
      </c>
    </row>
    <row r="105" spans="1:10" x14ac:dyDescent="0.35">
      <c r="A105" s="66" t="s">
        <v>175</v>
      </c>
      <c r="B105" s="73">
        <v>45</v>
      </c>
      <c r="C105" s="72">
        <v>0</v>
      </c>
      <c r="D105" s="73">
        <v>10</v>
      </c>
      <c r="E105" s="73">
        <v>0</v>
      </c>
      <c r="F105" s="73">
        <v>0</v>
      </c>
      <c r="G105" s="73">
        <v>10</v>
      </c>
      <c r="H105" s="72">
        <v>0</v>
      </c>
      <c r="I105" s="72">
        <v>0</v>
      </c>
      <c r="J105" s="72">
        <v>1</v>
      </c>
    </row>
    <row r="106" spans="1:10" x14ac:dyDescent="0.35">
      <c r="A106" s="66" t="s">
        <v>262</v>
      </c>
      <c r="B106" s="73">
        <v>440</v>
      </c>
      <c r="C106" s="72">
        <v>0</v>
      </c>
      <c r="D106" s="73">
        <v>235</v>
      </c>
      <c r="E106" s="73">
        <v>5</v>
      </c>
      <c r="F106" s="73">
        <v>5</v>
      </c>
      <c r="G106" s="73">
        <v>225</v>
      </c>
      <c r="H106" s="72">
        <v>0.03</v>
      </c>
      <c r="I106" s="72">
        <v>0.02</v>
      </c>
      <c r="J106" s="72">
        <v>0.95</v>
      </c>
    </row>
    <row r="107" spans="1:10" x14ac:dyDescent="0.35">
      <c r="A107" s="66" t="s">
        <v>237</v>
      </c>
      <c r="B107" s="73">
        <v>1895</v>
      </c>
      <c r="C107" s="72">
        <v>0.1</v>
      </c>
      <c r="D107" s="73">
        <v>1860</v>
      </c>
      <c r="E107" s="73">
        <v>10</v>
      </c>
      <c r="F107" s="73">
        <v>1845</v>
      </c>
      <c r="G107" s="73">
        <v>5</v>
      </c>
      <c r="H107" s="72">
        <v>0</v>
      </c>
      <c r="I107" s="72">
        <v>0.99</v>
      </c>
      <c r="J107" s="72">
        <v>0</v>
      </c>
    </row>
    <row r="108" spans="1:10" x14ac:dyDescent="0.35">
      <c r="A108" s="66" t="s">
        <v>238</v>
      </c>
      <c r="B108" s="73">
        <v>6220</v>
      </c>
      <c r="C108" s="72">
        <v>0.05</v>
      </c>
      <c r="D108" s="73">
        <v>6170</v>
      </c>
      <c r="E108" s="73">
        <v>50</v>
      </c>
      <c r="F108" s="73">
        <v>6015</v>
      </c>
      <c r="G108" s="73">
        <v>105</v>
      </c>
      <c r="H108" s="72">
        <v>0.01</v>
      </c>
      <c r="I108" s="72">
        <v>0.98</v>
      </c>
      <c r="J108" s="72">
        <v>0.02</v>
      </c>
    </row>
    <row r="109" spans="1:10" x14ac:dyDescent="0.35">
      <c r="A109" s="66" t="s">
        <v>239</v>
      </c>
      <c r="B109" s="73">
        <v>1875</v>
      </c>
      <c r="C109" s="72">
        <v>0.02</v>
      </c>
      <c r="D109" s="73">
        <v>1945</v>
      </c>
      <c r="E109" s="73">
        <v>75</v>
      </c>
      <c r="F109" s="73">
        <v>1865</v>
      </c>
      <c r="G109" s="73">
        <v>5</v>
      </c>
      <c r="H109" s="72">
        <v>0.04</v>
      </c>
      <c r="I109" s="72">
        <v>0.96</v>
      </c>
      <c r="J109" s="72">
        <v>0</v>
      </c>
    </row>
    <row r="110" spans="1:10" x14ac:dyDescent="0.35">
      <c r="A110" s="66" t="s">
        <v>240</v>
      </c>
      <c r="B110" s="73">
        <v>30</v>
      </c>
      <c r="C110" s="72">
        <v>0</v>
      </c>
      <c r="D110" s="73">
        <v>30</v>
      </c>
      <c r="E110" s="73">
        <v>5</v>
      </c>
      <c r="F110" s="73">
        <v>25</v>
      </c>
      <c r="G110" s="73" t="s">
        <v>486</v>
      </c>
      <c r="H110" s="72" t="s">
        <v>486</v>
      </c>
      <c r="I110" s="72">
        <v>0.84</v>
      </c>
      <c r="J110" s="72" t="s">
        <v>486</v>
      </c>
    </row>
    <row r="111" spans="1:10" x14ac:dyDescent="0.35">
      <c r="A111" s="66" t="s">
        <v>276</v>
      </c>
      <c r="B111" s="73">
        <v>10025</v>
      </c>
      <c r="C111" s="72">
        <v>0.04</v>
      </c>
      <c r="D111" s="73">
        <v>10005</v>
      </c>
      <c r="E111" s="73">
        <v>140</v>
      </c>
      <c r="F111" s="73">
        <v>9750</v>
      </c>
      <c r="G111" s="73">
        <v>115</v>
      </c>
      <c r="H111" s="72">
        <v>0.01</v>
      </c>
      <c r="I111" s="72">
        <v>0.97</v>
      </c>
      <c r="J111" s="72">
        <v>0.01</v>
      </c>
    </row>
    <row r="112" spans="1:10" x14ac:dyDescent="0.35">
      <c r="A112" s="66" t="s">
        <v>176</v>
      </c>
      <c r="B112" s="73">
        <v>510</v>
      </c>
      <c r="C112" s="72">
        <v>0.03</v>
      </c>
      <c r="D112" s="73">
        <v>470</v>
      </c>
      <c r="E112" s="73">
        <v>360</v>
      </c>
      <c r="F112" s="73">
        <v>100</v>
      </c>
      <c r="G112" s="73">
        <v>10</v>
      </c>
      <c r="H112" s="72">
        <v>0.77</v>
      </c>
      <c r="I112" s="72">
        <v>0.22</v>
      </c>
      <c r="J112" s="72">
        <v>0.02</v>
      </c>
    </row>
    <row r="113" spans="1:10" x14ac:dyDescent="0.35">
      <c r="A113" s="66" t="s">
        <v>177</v>
      </c>
      <c r="B113" s="73">
        <v>4465</v>
      </c>
      <c r="C113" s="72">
        <v>0.03</v>
      </c>
      <c r="D113" s="73">
        <v>4210</v>
      </c>
      <c r="E113" s="73">
        <v>2995</v>
      </c>
      <c r="F113" s="73">
        <v>1030</v>
      </c>
      <c r="G113" s="73">
        <v>190</v>
      </c>
      <c r="H113" s="72">
        <v>0.71</v>
      </c>
      <c r="I113" s="72">
        <v>0.24</v>
      </c>
      <c r="J113" s="72">
        <v>0.05</v>
      </c>
    </row>
    <row r="114" spans="1:10" x14ac:dyDescent="0.35">
      <c r="A114" s="66" t="s">
        <v>178</v>
      </c>
      <c r="B114" s="73">
        <v>3725</v>
      </c>
      <c r="C114" s="72">
        <v>0.03</v>
      </c>
      <c r="D114" s="73">
        <v>3595</v>
      </c>
      <c r="E114" s="73">
        <v>2570</v>
      </c>
      <c r="F114" s="73">
        <v>965</v>
      </c>
      <c r="G114" s="73">
        <v>60</v>
      </c>
      <c r="H114" s="72">
        <v>0.71</v>
      </c>
      <c r="I114" s="72">
        <v>0.27</v>
      </c>
      <c r="J114" s="72">
        <v>0.02</v>
      </c>
    </row>
    <row r="115" spans="1:10" x14ac:dyDescent="0.35">
      <c r="A115" s="66" t="s">
        <v>179</v>
      </c>
      <c r="B115" s="73">
        <v>300</v>
      </c>
      <c r="C115" s="72">
        <v>0.03</v>
      </c>
      <c r="D115" s="73">
        <v>490</v>
      </c>
      <c r="E115" s="73">
        <v>335</v>
      </c>
      <c r="F115" s="73">
        <v>150</v>
      </c>
      <c r="G115" s="73">
        <v>5</v>
      </c>
      <c r="H115" s="72">
        <v>0.68</v>
      </c>
      <c r="I115" s="72">
        <v>0.3</v>
      </c>
      <c r="J115" s="72">
        <v>0.01</v>
      </c>
    </row>
    <row r="116" spans="1:10" x14ac:dyDescent="0.35">
      <c r="A116" s="66" t="s">
        <v>263</v>
      </c>
      <c r="B116" s="73">
        <v>9005</v>
      </c>
      <c r="C116" s="72">
        <v>0.03</v>
      </c>
      <c r="D116" s="73">
        <v>8770</v>
      </c>
      <c r="E116" s="73">
        <v>6260</v>
      </c>
      <c r="F116" s="73">
        <v>2245</v>
      </c>
      <c r="G116" s="73">
        <v>265</v>
      </c>
      <c r="H116" s="72">
        <v>0.71</v>
      </c>
      <c r="I116" s="72">
        <v>0.26</v>
      </c>
      <c r="J116" s="72">
        <v>0.03</v>
      </c>
    </row>
    <row r="117" spans="1:10" x14ac:dyDescent="0.35">
      <c r="A117" s="66" t="s">
        <v>180</v>
      </c>
      <c r="B117" s="73">
        <v>1450</v>
      </c>
      <c r="C117" s="72">
        <v>7.0000000000000007E-2</v>
      </c>
      <c r="D117" s="73">
        <v>1315</v>
      </c>
      <c r="E117" s="73">
        <v>970</v>
      </c>
      <c r="F117" s="73">
        <v>325</v>
      </c>
      <c r="G117" s="73">
        <v>20</v>
      </c>
      <c r="H117" s="72">
        <v>0.74</v>
      </c>
      <c r="I117" s="72">
        <v>0.25</v>
      </c>
      <c r="J117" s="72">
        <v>0.01</v>
      </c>
    </row>
    <row r="118" spans="1:10" x14ac:dyDescent="0.35">
      <c r="A118" s="66" t="s">
        <v>181</v>
      </c>
      <c r="B118" s="73">
        <v>9885</v>
      </c>
      <c r="C118" s="72">
        <v>0.08</v>
      </c>
      <c r="D118" s="73">
        <v>9375</v>
      </c>
      <c r="E118" s="73">
        <v>6525</v>
      </c>
      <c r="F118" s="73">
        <v>2450</v>
      </c>
      <c r="G118" s="73">
        <v>400</v>
      </c>
      <c r="H118" s="72">
        <v>0.7</v>
      </c>
      <c r="I118" s="72">
        <v>0.26</v>
      </c>
      <c r="J118" s="72">
        <v>0.04</v>
      </c>
    </row>
    <row r="119" spans="1:10" x14ac:dyDescent="0.35">
      <c r="A119" s="66" t="s">
        <v>182</v>
      </c>
      <c r="B119" s="73">
        <v>9395</v>
      </c>
      <c r="C119" s="72">
        <v>0.08</v>
      </c>
      <c r="D119" s="73">
        <v>8930</v>
      </c>
      <c r="E119" s="73">
        <v>6190</v>
      </c>
      <c r="F119" s="73">
        <v>2565</v>
      </c>
      <c r="G119" s="73">
        <v>170</v>
      </c>
      <c r="H119" s="72">
        <v>0.69</v>
      </c>
      <c r="I119" s="72">
        <v>0.28999999999999998</v>
      </c>
      <c r="J119" s="72">
        <v>0.02</v>
      </c>
    </row>
    <row r="120" spans="1:10" x14ac:dyDescent="0.35">
      <c r="A120" s="66" t="s">
        <v>183</v>
      </c>
      <c r="B120" s="73">
        <v>805</v>
      </c>
      <c r="C120" s="72">
        <v>0.08</v>
      </c>
      <c r="D120" s="73">
        <v>1300</v>
      </c>
      <c r="E120" s="73">
        <v>840</v>
      </c>
      <c r="F120" s="73">
        <v>430</v>
      </c>
      <c r="G120" s="73">
        <v>30</v>
      </c>
      <c r="H120" s="72">
        <v>0.65</v>
      </c>
      <c r="I120" s="72">
        <v>0.33</v>
      </c>
      <c r="J120" s="72">
        <v>0.02</v>
      </c>
    </row>
    <row r="121" spans="1:10" x14ac:dyDescent="0.35">
      <c r="A121" s="66" t="s">
        <v>264</v>
      </c>
      <c r="B121" s="73">
        <v>21535</v>
      </c>
      <c r="C121" s="72">
        <v>0.08</v>
      </c>
      <c r="D121" s="73">
        <v>20925</v>
      </c>
      <c r="E121" s="73">
        <v>14530</v>
      </c>
      <c r="F121" s="73">
        <v>5770</v>
      </c>
      <c r="G121" s="73">
        <v>625</v>
      </c>
      <c r="H121" s="72">
        <v>0.69</v>
      </c>
      <c r="I121" s="72">
        <v>0.28000000000000003</v>
      </c>
      <c r="J121" s="72">
        <v>0.03</v>
      </c>
    </row>
    <row r="122" spans="1:10" x14ac:dyDescent="0.35">
      <c r="A122" s="66" t="s">
        <v>184</v>
      </c>
      <c r="B122" s="73">
        <v>60</v>
      </c>
      <c r="C122" s="72">
        <v>0</v>
      </c>
      <c r="D122" s="73">
        <v>55</v>
      </c>
      <c r="E122" s="73">
        <v>30</v>
      </c>
      <c r="F122" s="73">
        <v>25</v>
      </c>
      <c r="G122" s="73">
        <v>0</v>
      </c>
      <c r="H122" s="72">
        <v>0.51</v>
      </c>
      <c r="I122" s="72">
        <v>0.49</v>
      </c>
      <c r="J122" s="72">
        <v>0</v>
      </c>
    </row>
    <row r="123" spans="1:10" x14ac:dyDescent="0.35">
      <c r="A123" s="66" t="s">
        <v>185</v>
      </c>
      <c r="B123" s="73">
        <v>215</v>
      </c>
      <c r="C123" s="72">
        <v>0</v>
      </c>
      <c r="D123" s="73">
        <v>205</v>
      </c>
      <c r="E123" s="73">
        <v>140</v>
      </c>
      <c r="F123" s="73">
        <v>55</v>
      </c>
      <c r="G123" s="73">
        <v>10</v>
      </c>
      <c r="H123" s="72">
        <v>0.69</v>
      </c>
      <c r="I123" s="72">
        <v>0.27</v>
      </c>
      <c r="J123" s="72">
        <v>0.04</v>
      </c>
    </row>
    <row r="124" spans="1:10" x14ac:dyDescent="0.35">
      <c r="A124" s="66" t="s">
        <v>186</v>
      </c>
      <c r="B124" s="73">
        <v>285</v>
      </c>
      <c r="C124" s="72">
        <v>0</v>
      </c>
      <c r="D124" s="73">
        <v>270</v>
      </c>
      <c r="E124" s="73">
        <v>180</v>
      </c>
      <c r="F124" s="73">
        <v>85</v>
      </c>
      <c r="G124" s="73">
        <v>5</v>
      </c>
      <c r="H124" s="72">
        <v>0.67</v>
      </c>
      <c r="I124" s="72">
        <v>0.32</v>
      </c>
      <c r="J124" s="72">
        <v>0.01</v>
      </c>
    </row>
    <row r="125" spans="1:10" x14ac:dyDescent="0.35">
      <c r="A125" s="66" t="s">
        <v>187</v>
      </c>
      <c r="B125" s="73">
        <v>10</v>
      </c>
      <c r="C125" s="72">
        <v>0</v>
      </c>
      <c r="D125" s="73">
        <v>40</v>
      </c>
      <c r="E125" s="73">
        <v>20</v>
      </c>
      <c r="F125" s="73">
        <v>20</v>
      </c>
      <c r="G125" s="73" t="s">
        <v>486</v>
      </c>
      <c r="H125" s="72" t="s">
        <v>486</v>
      </c>
      <c r="I125" s="72">
        <v>0.51</v>
      </c>
      <c r="J125" s="72" t="s">
        <v>486</v>
      </c>
    </row>
    <row r="126" spans="1:10" x14ac:dyDescent="0.35">
      <c r="A126" s="66" t="s">
        <v>265</v>
      </c>
      <c r="B126" s="73">
        <v>575</v>
      </c>
      <c r="C126" s="72">
        <v>0</v>
      </c>
      <c r="D126" s="73">
        <v>565</v>
      </c>
      <c r="E126" s="73">
        <v>365</v>
      </c>
      <c r="F126" s="73">
        <v>190</v>
      </c>
      <c r="G126" s="73">
        <v>10</v>
      </c>
      <c r="H126" s="72">
        <v>0.65</v>
      </c>
      <c r="I126" s="72">
        <v>0.33</v>
      </c>
      <c r="J126" s="72">
        <v>0.02</v>
      </c>
    </row>
    <row r="127" spans="1:10" x14ac:dyDescent="0.35">
      <c r="A127" s="66" t="s">
        <v>188</v>
      </c>
      <c r="B127" s="73">
        <v>415</v>
      </c>
      <c r="C127" s="72">
        <v>0.02</v>
      </c>
      <c r="D127" s="73">
        <v>380</v>
      </c>
      <c r="E127" s="73">
        <v>255</v>
      </c>
      <c r="F127" s="73">
        <v>120</v>
      </c>
      <c r="G127" s="73">
        <v>5</v>
      </c>
      <c r="H127" s="72">
        <v>0.67</v>
      </c>
      <c r="I127" s="72">
        <v>0.32</v>
      </c>
      <c r="J127" s="72">
        <v>0.01</v>
      </c>
    </row>
    <row r="128" spans="1:10" x14ac:dyDescent="0.35">
      <c r="A128" s="66" t="s">
        <v>189</v>
      </c>
      <c r="B128" s="73">
        <v>2225</v>
      </c>
      <c r="C128" s="72">
        <v>0.02</v>
      </c>
      <c r="D128" s="73">
        <v>2105</v>
      </c>
      <c r="E128" s="73">
        <v>1475</v>
      </c>
      <c r="F128" s="73">
        <v>545</v>
      </c>
      <c r="G128" s="73">
        <v>85</v>
      </c>
      <c r="H128" s="72">
        <v>0.7</v>
      </c>
      <c r="I128" s="72">
        <v>0.26</v>
      </c>
      <c r="J128" s="72">
        <v>0.04</v>
      </c>
    </row>
    <row r="129" spans="1:10" x14ac:dyDescent="0.35">
      <c r="A129" s="66" t="s">
        <v>190</v>
      </c>
      <c r="B129" s="73">
        <v>2475</v>
      </c>
      <c r="C129" s="72">
        <v>0.02</v>
      </c>
      <c r="D129" s="73">
        <v>2270</v>
      </c>
      <c r="E129" s="73">
        <v>1605</v>
      </c>
      <c r="F129" s="73">
        <v>635</v>
      </c>
      <c r="G129" s="73">
        <v>30</v>
      </c>
      <c r="H129" s="72">
        <v>0.71</v>
      </c>
      <c r="I129" s="72">
        <v>0.28000000000000003</v>
      </c>
      <c r="J129" s="72">
        <v>0.01</v>
      </c>
    </row>
    <row r="130" spans="1:10" x14ac:dyDescent="0.35">
      <c r="A130" s="66" t="s">
        <v>191</v>
      </c>
      <c r="B130" s="73">
        <v>210</v>
      </c>
      <c r="C130" s="72">
        <v>0.02</v>
      </c>
      <c r="D130" s="73">
        <v>405</v>
      </c>
      <c r="E130" s="73">
        <v>260</v>
      </c>
      <c r="F130" s="73">
        <v>135</v>
      </c>
      <c r="G130" s="73">
        <v>5</v>
      </c>
      <c r="H130" s="72">
        <v>0.65</v>
      </c>
      <c r="I130" s="72">
        <v>0.34</v>
      </c>
      <c r="J130" s="72">
        <v>0.01</v>
      </c>
    </row>
    <row r="131" spans="1:10" x14ac:dyDescent="0.35">
      <c r="A131" s="66" t="s">
        <v>266</v>
      </c>
      <c r="B131" s="73">
        <v>5325</v>
      </c>
      <c r="C131" s="72">
        <v>0.02</v>
      </c>
      <c r="D131" s="73">
        <v>5160</v>
      </c>
      <c r="E131" s="73">
        <v>3600</v>
      </c>
      <c r="F131" s="73">
        <v>1435</v>
      </c>
      <c r="G131" s="73">
        <v>125</v>
      </c>
      <c r="H131" s="72">
        <v>0.7</v>
      </c>
      <c r="I131" s="72">
        <v>0.28000000000000003</v>
      </c>
      <c r="J131" s="72">
        <v>0.02</v>
      </c>
    </row>
    <row r="132" spans="1:10" x14ac:dyDescent="0.35">
      <c r="A132" s="66" t="s">
        <v>192</v>
      </c>
      <c r="B132" s="73">
        <v>640</v>
      </c>
      <c r="C132" s="72">
        <v>0.03</v>
      </c>
      <c r="D132" s="73">
        <v>595</v>
      </c>
      <c r="E132" s="73">
        <v>435</v>
      </c>
      <c r="F132" s="73">
        <v>150</v>
      </c>
      <c r="G132" s="73">
        <v>10</v>
      </c>
      <c r="H132" s="72">
        <v>0.73</v>
      </c>
      <c r="I132" s="72">
        <v>0.26</v>
      </c>
      <c r="J132" s="72">
        <v>0.01</v>
      </c>
    </row>
    <row r="133" spans="1:10" x14ac:dyDescent="0.35">
      <c r="A133" s="66" t="s">
        <v>193</v>
      </c>
      <c r="B133" s="73">
        <v>4185</v>
      </c>
      <c r="C133" s="72">
        <v>0.03</v>
      </c>
      <c r="D133" s="73">
        <v>3975</v>
      </c>
      <c r="E133" s="73">
        <v>2720</v>
      </c>
      <c r="F133" s="73">
        <v>1095</v>
      </c>
      <c r="G133" s="73">
        <v>160</v>
      </c>
      <c r="H133" s="72">
        <v>0.68</v>
      </c>
      <c r="I133" s="72">
        <v>0.28000000000000003</v>
      </c>
      <c r="J133" s="72">
        <v>0.04</v>
      </c>
    </row>
    <row r="134" spans="1:10" x14ac:dyDescent="0.35">
      <c r="A134" s="66" t="s">
        <v>194</v>
      </c>
      <c r="B134" s="73">
        <v>3870</v>
      </c>
      <c r="C134" s="72">
        <v>0.03</v>
      </c>
      <c r="D134" s="73">
        <v>3620</v>
      </c>
      <c r="E134" s="73">
        <v>2520</v>
      </c>
      <c r="F134" s="73">
        <v>1000</v>
      </c>
      <c r="G134" s="73">
        <v>100</v>
      </c>
      <c r="H134" s="72">
        <v>0.7</v>
      </c>
      <c r="I134" s="72">
        <v>0.28000000000000003</v>
      </c>
      <c r="J134" s="72">
        <v>0.03</v>
      </c>
    </row>
    <row r="135" spans="1:10" x14ac:dyDescent="0.35">
      <c r="A135" s="66" t="s">
        <v>195</v>
      </c>
      <c r="B135" s="73">
        <v>285</v>
      </c>
      <c r="C135" s="72">
        <v>0.03</v>
      </c>
      <c r="D135" s="73">
        <v>560</v>
      </c>
      <c r="E135" s="73">
        <v>345</v>
      </c>
      <c r="F135" s="73">
        <v>205</v>
      </c>
      <c r="G135" s="73">
        <v>10</v>
      </c>
      <c r="H135" s="72">
        <v>0.61</v>
      </c>
      <c r="I135" s="72">
        <v>0.37</v>
      </c>
      <c r="J135" s="72">
        <v>0.02</v>
      </c>
    </row>
    <row r="136" spans="1:10" x14ac:dyDescent="0.35">
      <c r="A136" s="66" t="s">
        <v>267</v>
      </c>
      <c r="B136" s="73">
        <v>8980</v>
      </c>
      <c r="C136" s="72">
        <v>0.03</v>
      </c>
      <c r="D136" s="73">
        <v>8750</v>
      </c>
      <c r="E136" s="73">
        <v>6015</v>
      </c>
      <c r="F136" s="73">
        <v>2455</v>
      </c>
      <c r="G136" s="73">
        <v>280</v>
      </c>
      <c r="H136" s="72">
        <v>0.69</v>
      </c>
      <c r="I136" s="72">
        <v>0.28000000000000003</v>
      </c>
      <c r="J136" s="72">
        <v>0.03</v>
      </c>
    </row>
    <row r="137" spans="1:10" x14ac:dyDescent="0.35">
      <c r="A137" s="66" t="s">
        <v>196</v>
      </c>
      <c r="B137" s="73">
        <v>295</v>
      </c>
      <c r="C137" s="72">
        <v>0.02</v>
      </c>
      <c r="D137" s="73">
        <v>275</v>
      </c>
      <c r="E137" s="73">
        <v>200</v>
      </c>
      <c r="F137" s="73">
        <v>65</v>
      </c>
      <c r="G137" s="73">
        <v>10</v>
      </c>
      <c r="H137" s="72">
        <v>0.73</v>
      </c>
      <c r="I137" s="72">
        <v>0.23</v>
      </c>
      <c r="J137" s="72">
        <v>0.04</v>
      </c>
    </row>
    <row r="138" spans="1:10" x14ac:dyDescent="0.35">
      <c r="A138" s="66" t="s">
        <v>197</v>
      </c>
      <c r="B138" s="73">
        <v>1850</v>
      </c>
      <c r="C138" s="72">
        <v>0.01</v>
      </c>
      <c r="D138" s="73">
        <v>1715</v>
      </c>
      <c r="E138" s="73">
        <v>1260</v>
      </c>
      <c r="F138" s="73">
        <v>390</v>
      </c>
      <c r="G138" s="73">
        <v>65</v>
      </c>
      <c r="H138" s="72">
        <v>0.74</v>
      </c>
      <c r="I138" s="72">
        <v>0.23</v>
      </c>
      <c r="J138" s="72">
        <v>0.04</v>
      </c>
    </row>
    <row r="139" spans="1:10" x14ac:dyDescent="0.35">
      <c r="A139" s="66" t="s">
        <v>198</v>
      </c>
      <c r="B139" s="73">
        <v>2015</v>
      </c>
      <c r="C139" s="72">
        <v>0.02</v>
      </c>
      <c r="D139" s="73">
        <v>1925</v>
      </c>
      <c r="E139" s="73">
        <v>1350</v>
      </c>
      <c r="F139" s="73">
        <v>540</v>
      </c>
      <c r="G139" s="73">
        <v>35</v>
      </c>
      <c r="H139" s="72">
        <v>0.7</v>
      </c>
      <c r="I139" s="72">
        <v>0.28000000000000003</v>
      </c>
      <c r="J139" s="72">
        <v>0.02</v>
      </c>
    </row>
    <row r="140" spans="1:10" x14ac:dyDescent="0.35">
      <c r="A140" s="66" t="s">
        <v>199</v>
      </c>
      <c r="B140" s="73">
        <v>165</v>
      </c>
      <c r="C140" s="72">
        <v>0.02</v>
      </c>
      <c r="D140" s="73">
        <v>290</v>
      </c>
      <c r="E140" s="73">
        <v>180</v>
      </c>
      <c r="F140" s="73">
        <v>105</v>
      </c>
      <c r="G140" s="73" t="s">
        <v>486</v>
      </c>
      <c r="H140" s="72">
        <v>0.63</v>
      </c>
      <c r="I140" s="72" t="s">
        <v>486</v>
      </c>
      <c r="J140" s="72" t="s">
        <v>486</v>
      </c>
    </row>
    <row r="141" spans="1:10" x14ac:dyDescent="0.35">
      <c r="A141" s="66" t="s">
        <v>268</v>
      </c>
      <c r="B141" s="73">
        <v>4325</v>
      </c>
      <c r="C141" s="72">
        <v>0.02</v>
      </c>
      <c r="D141" s="73">
        <v>4205</v>
      </c>
      <c r="E141" s="73">
        <v>2995</v>
      </c>
      <c r="F141" s="73">
        <v>1095</v>
      </c>
      <c r="G141" s="73">
        <v>110</v>
      </c>
      <c r="H141" s="72">
        <v>0.71</v>
      </c>
      <c r="I141" s="72">
        <v>0.26</v>
      </c>
      <c r="J141" s="72">
        <v>0.03</v>
      </c>
    </row>
    <row r="142" spans="1:10" x14ac:dyDescent="0.35">
      <c r="A142" s="66" t="s">
        <v>200</v>
      </c>
      <c r="B142" s="73">
        <v>35</v>
      </c>
      <c r="C142" s="72">
        <v>0</v>
      </c>
      <c r="D142" s="73">
        <v>30</v>
      </c>
      <c r="E142" s="73">
        <v>25</v>
      </c>
      <c r="F142" s="73">
        <v>5</v>
      </c>
      <c r="G142" s="73" t="s">
        <v>486</v>
      </c>
      <c r="H142" s="72">
        <v>0.74</v>
      </c>
      <c r="I142" s="72" t="s">
        <v>486</v>
      </c>
      <c r="J142" s="72" t="s">
        <v>486</v>
      </c>
    </row>
    <row r="143" spans="1:10" x14ac:dyDescent="0.35">
      <c r="A143" s="66" t="s">
        <v>201</v>
      </c>
      <c r="B143" s="73">
        <v>245</v>
      </c>
      <c r="C143" s="72">
        <v>0</v>
      </c>
      <c r="D143" s="73">
        <v>230</v>
      </c>
      <c r="E143" s="73">
        <v>150</v>
      </c>
      <c r="F143" s="73">
        <v>70</v>
      </c>
      <c r="G143" s="73">
        <v>10</v>
      </c>
      <c r="H143" s="72">
        <v>0.66</v>
      </c>
      <c r="I143" s="72">
        <v>0.3</v>
      </c>
      <c r="J143" s="72">
        <v>0.04</v>
      </c>
    </row>
    <row r="144" spans="1:10" x14ac:dyDescent="0.35">
      <c r="A144" s="66" t="s">
        <v>202</v>
      </c>
      <c r="B144" s="73">
        <v>235</v>
      </c>
      <c r="C144" s="72">
        <v>0</v>
      </c>
      <c r="D144" s="73">
        <v>225</v>
      </c>
      <c r="E144" s="73">
        <v>160</v>
      </c>
      <c r="F144" s="73">
        <v>60</v>
      </c>
      <c r="G144" s="73">
        <v>5</v>
      </c>
      <c r="H144" s="72">
        <v>0.71</v>
      </c>
      <c r="I144" s="72">
        <v>0.27</v>
      </c>
      <c r="J144" s="72">
        <v>0.02</v>
      </c>
    </row>
    <row r="145" spans="1:10" x14ac:dyDescent="0.35">
      <c r="A145" s="66" t="s">
        <v>203</v>
      </c>
      <c r="B145" s="73">
        <v>15</v>
      </c>
      <c r="C145" s="72">
        <v>0</v>
      </c>
      <c r="D145" s="73">
        <v>25</v>
      </c>
      <c r="E145" s="73">
        <v>10</v>
      </c>
      <c r="F145" s="73">
        <v>15</v>
      </c>
      <c r="G145" s="73" t="s">
        <v>486</v>
      </c>
      <c r="H145" s="72" t="s">
        <v>486</v>
      </c>
      <c r="I145" s="72">
        <v>0.52</v>
      </c>
      <c r="J145" s="72" t="s">
        <v>486</v>
      </c>
    </row>
    <row r="146" spans="1:10" x14ac:dyDescent="0.35">
      <c r="A146" s="66" t="s">
        <v>269</v>
      </c>
      <c r="B146" s="73">
        <v>530</v>
      </c>
      <c r="C146" s="72">
        <v>0</v>
      </c>
      <c r="D146" s="73">
        <v>510</v>
      </c>
      <c r="E146" s="73">
        <v>345</v>
      </c>
      <c r="F146" s="73">
        <v>150</v>
      </c>
      <c r="G146" s="73">
        <v>15</v>
      </c>
      <c r="H146" s="72">
        <v>0.67</v>
      </c>
      <c r="I146" s="72">
        <v>0.3</v>
      </c>
      <c r="J146" s="72">
        <v>0.03</v>
      </c>
    </row>
    <row r="147" spans="1:10" x14ac:dyDescent="0.35">
      <c r="A147" t="s">
        <v>204</v>
      </c>
      <c r="B147">
        <v>330</v>
      </c>
      <c r="C147">
        <v>0.02</v>
      </c>
      <c r="D147">
        <v>310</v>
      </c>
      <c r="E147">
        <v>230</v>
      </c>
      <c r="F147">
        <v>75</v>
      </c>
      <c r="G147">
        <v>5</v>
      </c>
      <c r="H147">
        <v>0.74</v>
      </c>
      <c r="I147">
        <v>0.25</v>
      </c>
      <c r="J147">
        <v>0.01</v>
      </c>
    </row>
    <row r="148" spans="1:10" x14ac:dyDescent="0.35">
      <c r="A148" t="s">
        <v>205</v>
      </c>
      <c r="B148">
        <v>2445</v>
      </c>
      <c r="C148">
        <v>0.02</v>
      </c>
      <c r="D148">
        <v>2275</v>
      </c>
      <c r="E148">
        <v>1610</v>
      </c>
      <c r="F148">
        <v>560</v>
      </c>
      <c r="G148">
        <v>100</v>
      </c>
      <c r="H148">
        <v>0.71</v>
      </c>
      <c r="I148">
        <v>0.25</v>
      </c>
      <c r="J148">
        <v>0.04</v>
      </c>
    </row>
    <row r="149" spans="1:10" x14ac:dyDescent="0.35">
      <c r="A149" t="s">
        <v>206</v>
      </c>
      <c r="B149">
        <v>2390</v>
      </c>
      <c r="C149">
        <v>0.02</v>
      </c>
      <c r="D149">
        <v>2295</v>
      </c>
      <c r="E149">
        <v>1600</v>
      </c>
      <c r="F149">
        <v>665</v>
      </c>
      <c r="G149">
        <v>25</v>
      </c>
      <c r="H149">
        <v>0.7</v>
      </c>
      <c r="I149">
        <v>0.28999999999999998</v>
      </c>
      <c r="J149">
        <v>0.01</v>
      </c>
    </row>
    <row r="150" spans="1:10" x14ac:dyDescent="0.35">
      <c r="A150" t="s">
        <v>207</v>
      </c>
      <c r="B150">
        <v>195</v>
      </c>
      <c r="C150">
        <v>0.02</v>
      </c>
      <c r="D150">
        <v>340</v>
      </c>
      <c r="E150">
        <v>230</v>
      </c>
      <c r="F150">
        <v>105</v>
      </c>
      <c r="G150">
        <v>5</v>
      </c>
      <c r="H150">
        <v>0.68</v>
      </c>
      <c r="I150">
        <v>0.31</v>
      </c>
      <c r="J150">
        <v>0.01</v>
      </c>
    </row>
    <row r="151" spans="1:10" x14ac:dyDescent="0.35">
      <c r="A151" t="s">
        <v>270</v>
      </c>
      <c r="B151">
        <v>5360</v>
      </c>
      <c r="C151">
        <v>0.02</v>
      </c>
      <c r="D151">
        <v>5215</v>
      </c>
      <c r="E151">
        <v>3670</v>
      </c>
      <c r="F151">
        <v>1410</v>
      </c>
      <c r="G151">
        <v>135</v>
      </c>
      <c r="H151">
        <v>0.7</v>
      </c>
      <c r="I151">
        <v>0.27</v>
      </c>
      <c r="J151">
        <v>0.03</v>
      </c>
    </row>
    <row r="152" spans="1:10" x14ac:dyDescent="0.35">
      <c r="A152" t="s">
        <v>208</v>
      </c>
      <c r="B152">
        <v>1130</v>
      </c>
      <c r="C152">
        <v>0.06</v>
      </c>
      <c r="D152">
        <v>1030</v>
      </c>
      <c r="E152">
        <v>725</v>
      </c>
      <c r="F152">
        <v>285</v>
      </c>
      <c r="G152">
        <v>25</v>
      </c>
      <c r="H152">
        <v>0.7</v>
      </c>
      <c r="I152">
        <v>0.28000000000000003</v>
      </c>
      <c r="J152">
        <v>0.02</v>
      </c>
    </row>
    <row r="153" spans="1:10" x14ac:dyDescent="0.35">
      <c r="A153" t="s">
        <v>209</v>
      </c>
      <c r="B153">
        <v>7270</v>
      </c>
      <c r="C153">
        <v>0.06</v>
      </c>
      <c r="D153">
        <v>6850</v>
      </c>
      <c r="E153">
        <v>4815</v>
      </c>
      <c r="F153">
        <v>1710</v>
      </c>
      <c r="G153">
        <v>325</v>
      </c>
      <c r="H153">
        <v>0.7</v>
      </c>
      <c r="I153">
        <v>0.25</v>
      </c>
      <c r="J153">
        <v>0.05</v>
      </c>
    </row>
    <row r="154" spans="1:10" x14ac:dyDescent="0.35">
      <c r="A154" t="s">
        <v>210</v>
      </c>
      <c r="B154">
        <v>7005</v>
      </c>
      <c r="C154">
        <v>0.06</v>
      </c>
      <c r="D154">
        <v>6660</v>
      </c>
      <c r="E154">
        <v>4635</v>
      </c>
      <c r="F154">
        <v>1925</v>
      </c>
      <c r="G154">
        <v>100</v>
      </c>
      <c r="H154">
        <v>0.7</v>
      </c>
      <c r="I154">
        <v>0.28999999999999998</v>
      </c>
      <c r="J154">
        <v>0.02</v>
      </c>
    </row>
    <row r="155" spans="1:10" x14ac:dyDescent="0.35">
      <c r="A155" t="s">
        <v>211</v>
      </c>
      <c r="B155">
        <v>655</v>
      </c>
      <c r="C155">
        <v>0.06</v>
      </c>
      <c r="D155">
        <v>1070</v>
      </c>
      <c r="E155">
        <v>695</v>
      </c>
      <c r="F155">
        <v>350</v>
      </c>
      <c r="G155">
        <v>25</v>
      </c>
      <c r="H155">
        <v>0.65</v>
      </c>
      <c r="I155">
        <v>0.33</v>
      </c>
      <c r="J155">
        <v>0.02</v>
      </c>
    </row>
    <row r="156" spans="1:10" x14ac:dyDescent="0.35">
      <c r="A156" t="s">
        <v>271</v>
      </c>
      <c r="B156">
        <v>16055</v>
      </c>
      <c r="C156">
        <v>0.06</v>
      </c>
      <c r="D156">
        <v>15610</v>
      </c>
      <c r="E156">
        <v>10865</v>
      </c>
      <c r="F156">
        <v>4270</v>
      </c>
      <c r="G156">
        <v>470</v>
      </c>
      <c r="H156">
        <v>0.7</v>
      </c>
      <c r="I156">
        <v>0.27</v>
      </c>
      <c r="J156">
        <v>0.03</v>
      </c>
    </row>
    <row r="157" spans="1:10" x14ac:dyDescent="0.35">
      <c r="A157" t="s">
        <v>212</v>
      </c>
      <c r="B157">
        <v>205</v>
      </c>
      <c r="C157">
        <v>0.01</v>
      </c>
      <c r="D157">
        <v>190</v>
      </c>
      <c r="E157">
        <v>130</v>
      </c>
      <c r="F157">
        <v>55</v>
      </c>
      <c r="G157">
        <v>5</v>
      </c>
      <c r="H157">
        <v>0.69</v>
      </c>
      <c r="I157">
        <v>0.28999999999999998</v>
      </c>
      <c r="J157">
        <v>0.02</v>
      </c>
    </row>
    <row r="158" spans="1:10" x14ac:dyDescent="0.35">
      <c r="A158" t="s">
        <v>213</v>
      </c>
      <c r="B158">
        <v>1350</v>
      </c>
      <c r="C158">
        <v>0.01</v>
      </c>
      <c r="D158">
        <v>1265</v>
      </c>
      <c r="E158">
        <v>900</v>
      </c>
      <c r="F158">
        <v>315</v>
      </c>
      <c r="G158">
        <v>50</v>
      </c>
      <c r="H158">
        <v>0.71</v>
      </c>
      <c r="I158">
        <v>0.25</v>
      </c>
      <c r="J158">
        <v>0.04</v>
      </c>
    </row>
    <row r="159" spans="1:10" x14ac:dyDescent="0.35">
      <c r="A159" t="s">
        <v>214</v>
      </c>
      <c r="B159">
        <v>1310</v>
      </c>
      <c r="C159">
        <v>0.01</v>
      </c>
      <c r="D159">
        <v>1255</v>
      </c>
      <c r="E159">
        <v>920</v>
      </c>
      <c r="F159">
        <v>320</v>
      </c>
      <c r="G159">
        <v>20</v>
      </c>
      <c r="H159">
        <v>0.73</v>
      </c>
      <c r="I159">
        <v>0.25</v>
      </c>
      <c r="J159">
        <v>0.02</v>
      </c>
    </row>
    <row r="160" spans="1:10" x14ac:dyDescent="0.35">
      <c r="A160" t="s">
        <v>215</v>
      </c>
      <c r="B160">
        <v>130</v>
      </c>
      <c r="C160">
        <v>0.01</v>
      </c>
      <c r="D160">
        <v>200</v>
      </c>
      <c r="E160">
        <v>125</v>
      </c>
      <c r="F160">
        <v>75</v>
      </c>
      <c r="G160" t="s">
        <v>486</v>
      </c>
      <c r="H160">
        <v>0.63</v>
      </c>
      <c r="I160" t="s">
        <v>486</v>
      </c>
      <c r="J160" t="s">
        <v>486</v>
      </c>
    </row>
    <row r="161" spans="1:10" x14ac:dyDescent="0.35">
      <c r="A161" t="s">
        <v>272</v>
      </c>
      <c r="B161">
        <v>3000</v>
      </c>
      <c r="C161">
        <v>0.01</v>
      </c>
      <c r="D161">
        <v>2910</v>
      </c>
      <c r="E161">
        <v>2070</v>
      </c>
      <c r="F161">
        <v>760</v>
      </c>
      <c r="G161">
        <v>75</v>
      </c>
      <c r="H161">
        <v>0.71</v>
      </c>
      <c r="I161">
        <v>0.26</v>
      </c>
      <c r="J161">
        <v>0.03</v>
      </c>
    </row>
    <row r="162" spans="1:10" x14ac:dyDescent="0.35">
      <c r="A162" t="s">
        <v>216</v>
      </c>
      <c r="B162">
        <v>19480</v>
      </c>
      <c r="C162">
        <v>1</v>
      </c>
      <c r="D162">
        <v>17935</v>
      </c>
      <c r="E162">
        <v>11505</v>
      </c>
      <c r="F162">
        <v>6080</v>
      </c>
      <c r="G162">
        <v>350</v>
      </c>
      <c r="H162">
        <v>0.64</v>
      </c>
      <c r="I162">
        <v>0.34</v>
      </c>
      <c r="J162">
        <v>0.02</v>
      </c>
    </row>
    <row r="163" spans="1:10" x14ac:dyDescent="0.35">
      <c r="A163" t="s">
        <v>217</v>
      </c>
      <c r="B163">
        <v>128070</v>
      </c>
      <c r="C163">
        <v>1</v>
      </c>
      <c r="D163">
        <v>120690</v>
      </c>
      <c r="E163">
        <v>80100</v>
      </c>
      <c r="F163">
        <v>35375</v>
      </c>
      <c r="G163">
        <v>5215</v>
      </c>
      <c r="H163">
        <v>0.66</v>
      </c>
      <c r="I163">
        <v>0.28999999999999998</v>
      </c>
      <c r="J163">
        <v>0.04</v>
      </c>
    </row>
    <row r="164" spans="1:10" x14ac:dyDescent="0.35">
      <c r="A164" t="s">
        <v>218</v>
      </c>
      <c r="B164">
        <v>118545</v>
      </c>
      <c r="C164">
        <v>1</v>
      </c>
      <c r="D164">
        <v>112505</v>
      </c>
      <c r="E164">
        <v>76980</v>
      </c>
      <c r="F164">
        <v>33490</v>
      </c>
      <c r="G164">
        <v>2040</v>
      </c>
      <c r="H164">
        <v>0.68</v>
      </c>
      <c r="I164">
        <v>0.3</v>
      </c>
      <c r="J164">
        <v>0.02</v>
      </c>
    </row>
    <row r="165" spans="1:10" x14ac:dyDescent="0.35">
      <c r="A165" t="s">
        <v>219</v>
      </c>
      <c r="B165">
        <v>10155</v>
      </c>
      <c r="C165">
        <v>1</v>
      </c>
      <c r="D165">
        <v>17250</v>
      </c>
      <c r="E165">
        <v>10990</v>
      </c>
      <c r="F165">
        <v>5895</v>
      </c>
      <c r="G165">
        <v>360</v>
      </c>
      <c r="H165">
        <v>0.64</v>
      </c>
      <c r="I165">
        <v>0.34</v>
      </c>
      <c r="J165">
        <v>0.02</v>
      </c>
    </row>
    <row r="166" spans="1:10" x14ac:dyDescent="0.35">
      <c r="A166" t="s">
        <v>273</v>
      </c>
      <c r="B166">
        <v>276250</v>
      </c>
      <c r="C166">
        <v>1</v>
      </c>
      <c r="D166">
        <v>268375</v>
      </c>
      <c r="E166">
        <v>179575</v>
      </c>
      <c r="F166">
        <v>80835</v>
      </c>
      <c r="G166">
        <v>7965</v>
      </c>
      <c r="H166">
        <v>0.67</v>
      </c>
      <c r="I166">
        <v>0.3</v>
      </c>
      <c r="J166">
        <v>0.03</v>
      </c>
    </row>
    <row r="167" spans="1:10" x14ac:dyDescent="0.35">
      <c r="A167" t="s">
        <v>233</v>
      </c>
      <c r="B167">
        <v>15</v>
      </c>
      <c r="C167">
        <v>0</v>
      </c>
      <c r="D167">
        <v>15</v>
      </c>
      <c r="E167">
        <v>15</v>
      </c>
      <c r="F167" t="s">
        <v>486</v>
      </c>
      <c r="G167">
        <v>0</v>
      </c>
      <c r="H167" t="s">
        <v>486</v>
      </c>
      <c r="I167" t="s">
        <v>486</v>
      </c>
      <c r="J167">
        <v>0</v>
      </c>
    </row>
    <row r="168" spans="1:10" x14ac:dyDescent="0.35">
      <c r="A168" t="s">
        <v>234</v>
      </c>
      <c r="B168">
        <v>110</v>
      </c>
      <c r="C168">
        <v>0</v>
      </c>
      <c r="D168">
        <v>95</v>
      </c>
      <c r="E168">
        <v>75</v>
      </c>
      <c r="F168">
        <v>20</v>
      </c>
      <c r="G168" t="s">
        <v>486</v>
      </c>
      <c r="H168">
        <v>0.76</v>
      </c>
      <c r="I168" t="s">
        <v>486</v>
      </c>
      <c r="J168" t="s">
        <v>486</v>
      </c>
    </row>
    <row r="169" spans="1:10" x14ac:dyDescent="0.35">
      <c r="A169" t="s">
        <v>235</v>
      </c>
      <c r="B169">
        <v>155</v>
      </c>
      <c r="C169">
        <v>0</v>
      </c>
      <c r="D169">
        <v>135</v>
      </c>
      <c r="E169">
        <v>90</v>
      </c>
      <c r="F169">
        <v>40</v>
      </c>
      <c r="G169">
        <v>5</v>
      </c>
      <c r="H169">
        <v>0.66</v>
      </c>
      <c r="I169">
        <v>0.28999999999999998</v>
      </c>
      <c r="J169">
        <v>0.05</v>
      </c>
    </row>
    <row r="170" spans="1:10" x14ac:dyDescent="0.35">
      <c r="A170" t="s">
        <v>236</v>
      </c>
      <c r="B170">
        <v>20</v>
      </c>
      <c r="C170">
        <v>0</v>
      </c>
      <c r="D170">
        <v>35</v>
      </c>
      <c r="E170">
        <v>30</v>
      </c>
      <c r="F170">
        <v>5</v>
      </c>
      <c r="G170" t="s">
        <v>486</v>
      </c>
      <c r="H170">
        <v>0.78</v>
      </c>
      <c r="I170" t="s">
        <v>486</v>
      </c>
      <c r="J170" t="s">
        <v>486</v>
      </c>
    </row>
    <row r="171" spans="1:10" x14ac:dyDescent="0.35">
      <c r="A171" t="s">
        <v>277</v>
      </c>
      <c r="B171">
        <v>295</v>
      </c>
      <c r="C171">
        <v>0</v>
      </c>
      <c r="D171">
        <v>285</v>
      </c>
      <c r="E171">
        <v>205</v>
      </c>
      <c r="F171">
        <v>70</v>
      </c>
      <c r="G171">
        <v>10</v>
      </c>
      <c r="H171">
        <v>0.72</v>
      </c>
      <c r="I171">
        <v>0.24</v>
      </c>
      <c r="J171">
        <v>0.04</v>
      </c>
    </row>
    <row r="172" spans="1:10" x14ac:dyDescent="0.35">
      <c r="A172" t="s">
        <v>220</v>
      </c>
      <c r="B172">
        <v>455</v>
      </c>
      <c r="C172">
        <v>0.02</v>
      </c>
      <c r="D172">
        <v>415</v>
      </c>
      <c r="E172">
        <v>310</v>
      </c>
      <c r="F172">
        <v>100</v>
      </c>
      <c r="G172">
        <v>5</v>
      </c>
      <c r="H172">
        <v>0.75</v>
      </c>
      <c r="I172">
        <v>0.24</v>
      </c>
      <c r="J172">
        <v>0.02</v>
      </c>
    </row>
    <row r="173" spans="1:10" x14ac:dyDescent="0.35">
      <c r="A173" t="s">
        <v>221</v>
      </c>
      <c r="B173">
        <v>3160</v>
      </c>
      <c r="C173">
        <v>0.02</v>
      </c>
      <c r="D173">
        <v>2950</v>
      </c>
      <c r="E173">
        <v>2010</v>
      </c>
      <c r="F173">
        <v>815</v>
      </c>
      <c r="G173">
        <v>130</v>
      </c>
      <c r="H173">
        <v>0.68</v>
      </c>
      <c r="I173">
        <v>0.28000000000000003</v>
      </c>
      <c r="J173">
        <v>0.04</v>
      </c>
    </row>
    <row r="174" spans="1:10" x14ac:dyDescent="0.35">
      <c r="A174" t="s">
        <v>222</v>
      </c>
      <c r="B174">
        <v>2675</v>
      </c>
      <c r="C174">
        <v>0.02</v>
      </c>
      <c r="D174">
        <v>2605</v>
      </c>
      <c r="E174">
        <v>1810</v>
      </c>
      <c r="F174">
        <v>750</v>
      </c>
      <c r="G174">
        <v>45</v>
      </c>
      <c r="H174">
        <v>0.69</v>
      </c>
      <c r="I174">
        <v>0.28999999999999998</v>
      </c>
      <c r="J174">
        <v>0.02</v>
      </c>
    </row>
    <row r="175" spans="1:10" x14ac:dyDescent="0.35">
      <c r="A175" t="s">
        <v>223</v>
      </c>
      <c r="B175">
        <v>240</v>
      </c>
      <c r="C175">
        <v>0.02</v>
      </c>
      <c r="D175">
        <v>410</v>
      </c>
      <c r="E175">
        <v>275</v>
      </c>
      <c r="F175">
        <v>125</v>
      </c>
      <c r="G175">
        <v>10</v>
      </c>
      <c r="H175">
        <v>0.67</v>
      </c>
      <c r="I175">
        <v>0.3</v>
      </c>
      <c r="J175">
        <v>0.02</v>
      </c>
    </row>
    <row r="176" spans="1:10" x14ac:dyDescent="0.35">
      <c r="A176" t="s">
        <v>274</v>
      </c>
      <c r="B176">
        <v>6535</v>
      </c>
      <c r="C176">
        <v>0.02</v>
      </c>
      <c r="D176">
        <v>6380</v>
      </c>
      <c r="E176">
        <v>4405</v>
      </c>
      <c r="F176">
        <v>1785</v>
      </c>
      <c r="G176">
        <v>190</v>
      </c>
      <c r="H176">
        <v>0.69</v>
      </c>
      <c r="I176">
        <v>0.28000000000000003</v>
      </c>
      <c r="J176">
        <v>0.03</v>
      </c>
    </row>
    <row r="177" spans="1:10" x14ac:dyDescent="0.35">
      <c r="A177" t="s">
        <v>224</v>
      </c>
      <c r="B177">
        <v>670</v>
      </c>
      <c r="C177">
        <v>0.03</v>
      </c>
      <c r="D177">
        <v>605</v>
      </c>
      <c r="E177">
        <v>440</v>
      </c>
      <c r="F177">
        <v>155</v>
      </c>
      <c r="G177">
        <v>10</v>
      </c>
      <c r="H177">
        <v>0.73</v>
      </c>
      <c r="I177">
        <v>0.26</v>
      </c>
      <c r="J177">
        <v>0.01</v>
      </c>
    </row>
    <row r="178" spans="1:10" x14ac:dyDescent="0.35">
      <c r="A178" t="s">
        <v>225</v>
      </c>
      <c r="B178">
        <v>4855</v>
      </c>
      <c r="C178">
        <v>0.04</v>
      </c>
      <c r="D178">
        <v>4595</v>
      </c>
      <c r="E178">
        <v>3160</v>
      </c>
      <c r="F178">
        <v>1235</v>
      </c>
      <c r="G178">
        <v>205</v>
      </c>
      <c r="H178">
        <v>0.69</v>
      </c>
      <c r="I178">
        <v>0.27</v>
      </c>
      <c r="J178">
        <v>0.04</v>
      </c>
    </row>
    <row r="179" spans="1:10" x14ac:dyDescent="0.35">
      <c r="A179" t="s">
        <v>226</v>
      </c>
      <c r="B179">
        <v>4420</v>
      </c>
      <c r="C179">
        <v>0.04</v>
      </c>
      <c r="D179">
        <v>4185</v>
      </c>
      <c r="E179">
        <v>2905</v>
      </c>
      <c r="F179">
        <v>1185</v>
      </c>
      <c r="G179">
        <v>95</v>
      </c>
      <c r="H179">
        <v>0.69</v>
      </c>
      <c r="I179">
        <v>0.28000000000000003</v>
      </c>
      <c r="J179">
        <v>0.02</v>
      </c>
    </row>
    <row r="180" spans="1:10" x14ac:dyDescent="0.35">
      <c r="A180" t="s">
        <v>227</v>
      </c>
      <c r="B180">
        <v>380</v>
      </c>
      <c r="C180">
        <v>0.04</v>
      </c>
      <c r="D180">
        <v>645</v>
      </c>
      <c r="E180">
        <v>380</v>
      </c>
      <c r="F180">
        <v>250</v>
      </c>
      <c r="G180">
        <v>15</v>
      </c>
      <c r="H180">
        <v>0.59</v>
      </c>
      <c r="I180">
        <v>0.38</v>
      </c>
      <c r="J180">
        <v>0.03</v>
      </c>
    </row>
    <row r="181" spans="1:10" x14ac:dyDescent="0.35">
      <c r="A181" t="s">
        <v>275</v>
      </c>
      <c r="B181">
        <v>10325</v>
      </c>
      <c r="C181">
        <v>0.04</v>
      </c>
      <c r="D181">
        <v>10035</v>
      </c>
      <c r="E181">
        <v>6890</v>
      </c>
      <c r="F181">
        <v>2825</v>
      </c>
      <c r="G181">
        <v>320</v>
      </c>
      <c r="H181">
        <v>0.69</v>
      </c>
      <c r="I181">
        <v>0.28000000000000003</v>
      </c>
      <c r="J181">
        <v>0.03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81"/>
  <sheetViews>
    <sheetView zoomScale="75" zoomScaleNormal="75" workbookViewId="0"/>
  </sheetViews>
  <sheetFormatPr defaultRowHeight="14.5" x14ac:dyDescent="0.35"/>
  <cols>
    <col min="1" max="1" width="23.7265625" customWidth="1"/>
    <col min="2" max="2" width="12.1796875" customWidth="1"/>
    <col min="3" max="3" width="14.54296875" customWidth="1"/>
    <col min="4" max="4" width="14.453125" customWidth="1"/>
    <col min="5" max="5" width="12.81640625" customWidth="1"/>
    <col min="6" max="6" width="14" customWidth="1"/>
    <col min="7" max="7" width="13" customWidth="1"/>
    <col min="8" max="8" width="12.54296875" customWidth="1"/>
    <col min="9" max="9" width="13.81640625" customWidth="1"/>
    <col min="10" max="10" width="14.453125" customWidth="1"/>
    <col min="11" max="12" width="14.1796875" customWidth="1"/>
    <col min="13" max="13" width="14.54296875" customWidth="1"/>
    <col min="15" max="15" width="11.453125" customWidth="1"/>
  </cols>
  <sheetData>
    <row r="1" spans="1:15" ht="152.5" customHeight="1" x14ac:dyDescent="0.35">
      <c r="A1" s="89" t="s">
        <v>74</v>
      </c>
      <c r="B1" s="70" t="s">
        <v>75</v>
      </c>
      <c r="C1" s="70" t="s">
        <v>342</v>
      </c>
      <c r="D1" s="70" t="s">
        <v>82</v>
      </c>
      <c r="E1" s="70" t="s">
        <v>83</v>
      </c>
      <c r="F1" s="70" t="s">
        <v>84</v>
      </c>
      <c r="G1" s="70" t="s">
        <v>85</v>
      </c>
      <c r="H1" s="70" t="s">
        <v>86</v>
      </c>
      <c r="I1" s="70" t="s">
        <v>347</v>
      </c>
      <c r="J1" s="90" t="s">
        <v>348</v>
      </c>
      <c r="K1" s="90" t="s">
        <v>349</v>
      </c>
      <c r="L1" s="90" t="s">
        <v>350</v>
      </c>
      <c r="M1" s="71" t="s">
        <v>351</v>
      </c>
      <c r="O1" s="71" t="s">
        <v>232</v>
      </c>
    </row>
    <row r="2" spans="1:15" ht="15" thickBot="1" x14ac:dyDescent="0.4">
      <c r="A2" s="91" t="s">
        <v>92</v>
      </c>
      <c r="B2" s="7">
        <v>615</v>
      </c>
      <c r="C2" s="72">
        <v>0.03</v>
      </c>
      <c r="D2" s="7">
        <v>590</v>
      </c>
      <c r="E2" s="7">
        <v>0</v>
      </c>
      <c r="F2" s="7">
        <v>0</v>
      </c>
      <c r="G2" s="7">
        <v>0</v>
      </c>
      <c r="H2" s="7">
        <v>25</v>
      </c>
      <c r="I2" s="72">
        <v>0.96</v>
      </c>
      <c r="J2" s="72">
        <v>0</v>
      </c>
      <c r="K2" s="72">
        <v>0</v>
      </c>
      <c r="L2" s="72">
        <v>0</v>
      </c>
      <c r="M2" s="72">
        <v>0.04</v>
      </c>
      <c r="O2" s="21" t="s">
        <v>228</v>
      </c>
    </row>
    <row r="3" spans="1:15" ht="15" thickBot="1" x14ac:dyDescent="0.4">
      <c r="A3" s="91" t="s">
        <v>93</v>
      </c>
      <c r="B3" s="7">
        <v>3540</v>
      </c>
      <c r="C3" s="72">
        <v>0.03</v>
      </c>
      <c r="D3" s="7">
        <v>1010</v>
      </c>
      <c r="E3" s="7">
        <v>1385</v>
      </c>
      <c r="F3" s="7">
        <v>730</v>
      </c>
      <c r="G3" s="7">
        <v>1575</v>
      </c>
      <c r="H3" s="7">
        <v>365</v>
      </c>
      <c r="I3" s="72">
        <v>0.28000000000000003</v>
      </c>
      <c r="J3" s="72">
        <v>0.39</v>
      </c>
      <c r="K3" s="72">
        <v>0.21</v>
      </c>
      <c r="L3" s="72">
        <v>0.45</v>
      </c>
      <c r="M3" s="72">
        <v>0.1</v>
      </c>
      <c r="O3" s="21" t="s">
        <v>229</v>
      </c>
    </row>
    <row r="4" spans="1:15" ht="15" thickBot="1" x14ac:dyDescent="0.4">
      <c r="A4" s="91" t="s">
        <v>94</v>
      </c>
      <c r="B4" s="7">
        <v>3895</v>
      </c>
      <c r="C4" s="72">
        <v>0.03</v>
      </c>
      <c r="D4" s="7">
        <v>1150</v>
      </c>
      <c r="E4" s="7">
        <v>1325</v>
      </c>
      <c r="F4" s="7">
        <v>1010</v>
      </c>
      <c r="G4" s="7">
        <v>2645</v>
      </c>
      <c r="H4" s="7">
        <v>425</v>
      </c>
      <c r="I4" s="72">
        <v>0.3</v>
      </c>
      <c r="J4" s="72">
        <v>0.34</v>
      </c>
      <c r="K4" s="72">
        <v>0.26</v>
      </c>
      <c r="L4" s="72">
        <v>0.68</v>
      </c>
      <c r="M4" s="72">
        <v>0.11</v>
      </c>
      <c r="O4" s="21" t="s">
        <v>230</v>
      </c>
    </row>
    <row r="5" spans="1:15" ht="15" thickBot="1" x14ac:dyDescent="0.4">
      <c r="A5" s="91" t="s">
        <v>95</v>
      </c>
      <c r="B5" s="7">
        <v>355</v>
      </c>
      <c r="C5" s="72">
        <v>0.03</v>
      </c>
      <c r="D5" s="7">
        <v>165</v>
      </c>
      <c r="E5" s="7">
        <v>125</v>
      </c>
      <c r="F5" s="7">
        <v>0</v>
      </c>
      <c r="G5" s="7">
        <v>285</v>
      </c>
      <c r="H5" s="7">
        <v>55</v>
      </c>
      <c r="I5" s="72">
        <v>0.47</v>
      </c>
      <c r="J5" s="72">
        <v>0.35</v>
      </c>
      <c r="K5" s="72">
        <v>0</v>
      </c>
      <c r="L5" s="72">
        <v>0.81</v>
      </c>
      <c r="M5" s="72">
        <v>0.16</v>
      </c>
      <c r="O5" s="21" t="s">
        <v>231</v>
      </c>
    </row>
    <row r="6" spans="1:15" ht="15" thickBot="1" x14ac:dyDescent="0.4">
      <c r="A6" s="91" t="s">
        <v>242</v>
      </c>
      <c r="B6" s="7">
        <v>8400</v>
      </c>
      <c r="C6" s="72">
        <v>0.03</v>
      </c>
      <c r="D6" s="7">
        <v>2910</v>
      </c>
      <c r="E6" s="7">
        <v>2835</v>
      </c>
      <c r="F6" s="7">
        <v>1740</v>
      </c>
      <c r="G6" s="7">
        <v>4510</v>
      </c>
      <c r="H6" s="7">
        <v>875</v>
      </c>
      <c r="I6" s="72">
        <v>0.35</v>
      </c>
      <c r="J6" s="72">
        <v>0.34</v>
      </c>
      <c r="K6" s="72">
        <v>0.21</v>
      </c>
      <c r="L6" s="72">
        <v>0.54</v>
      </c>
      <c r="M6" s="72">
        <v>0.1</v>
      </c>
      <c r="O6" s="21" t="s">
        <v>241</v>
      </c>
    </row>
    <row r="7" spans="1:15" ht="15" thickBot="1" x14ac:dyDescent="0.4">
      <c r="A7" s="91" t="s">
        <v>96</v>
      </c>
      <c r="B7" s="7">
        <v>520</v>
      </c>
      <c r="C7" s="72">
        <v>0.03</v>
      </c>
      <c r="D7" s="7">
        <v>505</v>
      </c>
      <c r="E7" s="7">
        <v>0</v>
      </c>
      <c r="F7" s="7">
        <v>0</v>
      </c>
      <c r="G7" s="7">
        <v>0</v>
      </c>
      <c r="H7" s="7">
        <v>20</v>
      </c>
      <c r="I7" s="72">
        <v>0.96</v>
      </c>
      <c r="J7" s="72">
        <v>0</v>
      </c>
      <c r="K7" s="72">
        <v>0</v>
      </c>
      <c r="L7" s="72">
        <v>0</v>
      </c>
      <c r="M7" s="72">
        <v>0.04</v>
      </c>
    </row>
    <row r="8" spans="1:15" ht="15" thickBot="1" x14ac:dyDescent="0.4">
      <c r="A8" s="91" t="s">
        <v>97</v>
      </c>
      <c r="B8" s="7">
        <v>2700</v>
      </c>
      <c r="C8" s="72">
        <v>0.02</v>
      </c>
      <c r="D8" s="7">
        <v>755</v>
      </c>
      <c r="E8" s="7">
        <v>1055</v>
      </c>
      <c r="F8" s="7">
        <v>620</v>
      </c>
      <c r="G8" s="7">
        <v>1220</v>
      </c>
      <c r="H8" s="7">
        <v>280</v>
      </c>
      <c r="I8" s="72">
        <v>0.28000000000000003</v>
      </c>
      <c r="J8" s="72">
        <v>0.39</v>
      </c>
      <c r="K8" s="72">
        <v>0.23</v>
      </c>
      <c r="L8" s="72">
        <v>0.45</v>
      </c>
      <c r="M8" s="72">
        <v>0.1</v>
      </c>
    </row>
    <row r="9" spans="1:15" ht="15" thickBot="1" x14ac:dyDescent="0.4">
      <c r="A9" s="91" t="s">
        <v>98</v>
      </c>
      <c r="B9" s="7">
        <v>3330</v>
      </c>
      <c r="C9" s="72">
        <v>0.03</v>
      </c>
      <c r="D9" s="7">
        <v>865</v>
      </c>
      <c r="E9" s="7">
        <v>1100</v>
      </c>
      <c r="F9" s="7">
        <v>925</v>
      </c>
      <c r="G9" s="7">
        <v>2095</v>
      </c>
      <c r="H9" s="7">
        <v>445</v>
      </c>
      <c r="I9" s="72">
        <v>0.26</v>
      </c>
      <c r="J9" s="72">
        <v>0.33</v>
      </c>
      <c r="K9" s="72">
        <v>0.28000000000000003</v>
      </c>
      <c r="L9" s="72">
        <v>0.63</v>
      </c>
      <c r="M9" s="72">
        <v>0.13</v>
      </c>
    </row>
    <row r="10" spans="1:15" ht="15" thickBot="1" x14ac:dyDescent="0.4">
      <c r="A10" s="91" t="s">
        <v>99</v>
      </c>
      <c r="B10" s="7">
        <v>260</v>
      </c>
      <c r="C10" s="72">
        <v>0.03</v>
      </c>
      <c r="D10" s="7">
        <v>115</v>
      </c>
      <c r="E10" s="7">
        <v>90</v>
      </c>
      <c r="F10" s="7">
        <v>0</v>
      </c>
      <c r="G10" s="7">
        <v>200</v>
      </c>
      <c r="H10" s="7">
        <v>50</v>
      </c>
      <c r="I10" s="72">
        <v>0.44</v>
      </c>
      <c r="J10" s="72">
        <v>0.34</v>
      </c>
      <c r="K10" s="72">
        <v>0</v>
      </c>
      <c r="L10" s="72">
        <v>0.77</v>
      </c>
      <c r="M10" s="72">
        <v>0.19</v>
      </c>
    </row>
    <row r="11" spans="1:15" ht="15" thickBot="1" x14ac:dyDescent="0.4">
      <c r="A11" s="91" t="s">
        <v>243</v>
      </c>
      <c r="B11" s="7">
        <v>6810</v>
      </c>
      <c r="C11" s="72">
        <v>0.02</v>
      </c>
      <c r="D11" s="7">
        <v>2235</v>
      </c>
      <c r="E11" s="7">
        <v>2240</v>
      </c>
      <c r="F11" s="7">
        <v>1540</v>
      </c>
      <c r="G11" s="7">
        <v>3515</v>
      </c>
      <c r="H11" s="7">
        <v>790</v>
      </c>
      <c r="I11" s="72">
        <v>0.33</v>
      </c>
      <c r="J11" s="72">
        <v>0.33</v>
      </c>
      <c r="K11" s="72">
        <v>0.23</v>
      </c>
      <c r="L11" s="72">
        <v>0.52</v>
      </c>
      <c r="M11" s="72">
        <v>0.12</v>
      </c>
    </row>
    <row r="12" spans="1:15" ht="15" thickBot="1" x14ac:dyDescent="0.4">
      <c r="A12" s="91" t="s">
        <v>100</v>
      </c>
      <c r="B12" s="7">
        <v>340</v>
      </c>
      <c r="C12" s="72">
        <v>0.02</v>
      </c>
      <c r="D12" s="7">
        <v>335</v>
      </c>
      <c r="E12" s="7">
        <v>0</v>
      </c>
      <c r="F12" s="7">
        <v>0</v>
      </c>
      <c r="G12" s="7">
        <v>0</v>
      </c>
      <c r="H12" s="7">
        <v>5</v>
      </c>
      <c r="I12" s="72">
        <v>0.98</v>
      </c>
      <c r="J12" s="72">
        <v>0</v>
      </c>
      <c r="K12" s="72">
        <v>0</v>
      </c>
      <c r="L12" s="72">
        <v>0</v>
      </c>
      <c r="M12" s="72">
        <v>0.02</v>
      </c>
    </row>
    <row r="13" spans="1:15" ht="15" thickBot="1" x14ac:dyDescent="0.4">
      <c r="A13" s="91" t="s">
        <v>101</v>
      </c>
      <c r="B13" s="7">
        <v>2365</v>
      </c>
      <c r="C13" s="72">
        <v>0.02</v>
      </c>
      <c r="D13" s="7">
        <v>650</v>
      </c>
      <c r="E13" s="7">
        <v>950</v>
      </c>
      <c r="F13" s="7">
        <v>560</v>
      </c>
      <c r="G13" s="7">
        <v>1015</v>
      </c>
      <c r="H13" s="7">
        <v>280</v>
      </c>
      <c r="I13" s="72">
        <v>0.27</v>
      </c>
      <c r="J13" s="72">
        <v>0.4</v>
      </c>
      <c r="K13" s="72">
        <v>0.24</v>
      </c>
      <c r="L13" s="72">
        <v>0.43</v>
      </c>
      <c r="M13" s="72">
        <v>0.12</v>
      </c>
    </row>
    <row r="14" spans="1:15" ht="15" thickBot="1" x14ac:dyDescent="0.4">
      <c r="A14" s="91" t="s">
        <v>102</v>
      </c>
      <c r="B14" s="7">
        <v>2235</v>
      </c>
      <c r="C14" s="72">
        <v>0.02</v>
      </c>
      <c r="D14" s="7">
        <v>610</v>
      </c>
      <c r="E14" s="7">
        <v>720</v>
      </c>
      <c r="F14" s="7">
        <v>690</v>
      </c>
      <c r="G14" s="7">
        <v>1440</v>
      </c>
      <c r="H14" s="7">
        <v>255</v>
      </c>
      <c r="I14" s="72">
        <v>0.27</v>
      </c>
      <c r="J14" s="72">
        <v>0.32</v>
      </c>
      <c r="K14" s="72">
        <v>0.31</v>
      </c>
      <c r="L14" s="72">
        <v>0.64</v>
      </c>
      <c r="M14" s="72">
        <v>0.11</v>
      </c>
    </row>
    <row r="15" spans="1:15" ht="15" thickBot="1" x14ac:dyDescent="0.4">
      <c r="A15" s="91" t="s">
        <v>103</v>
      </c>
      <c r="B15" s="7">
        <v>190</v>
      </c>
      <c r="C15" s="72">
        <v>0.02</v>
      </c>
      <c r="D15" s="7">
        <v>90</v>
      </c>
      <c r="E15" s="7">
        <v>75</v>
      </c>
      <c r="F15" s="7">
        <v>0</v>
      </c>
      <c r="G15" s="7">
        <v>165</v>
      </c>
      <c r="H15" s="7">
        <v>20</v>
      </c>
      <c r="I15" s="72">
        <v>0.47</v>
      </c>
      <c r="J15" s="72">
        <v>0.4</v>
      </c>
      <c r="K15" s="72">
        <v>0</v>
      </c>
      <c r="L15" s="72">
        <v>0.87</v>
      </c>
      <c r="M15" s="72">
        <v>0.11</v>
      </c>
    </row>
    <row r="16" spans="1:15" ht="15" thickBot="1" x14ac:dyDescent="0.4">
      <c r="A16" s="91" t="s">
        <v>244</v>
      </c>
      <c r="B16" s="7">
        <v>5130</v>
      </c>
      <c r="C16" s="72">
        <v>0.02</v>
      </c>
      <c r="D16" s="7">
        <v>1685</v>
      </c>
      <c r="E16" s="7">
        <v>1745</v>
      </c>
      <c r="F16" s="7">
        <v>1250</v>
      </c>
      <c r="G16" s="7">
        <v>2620</v>
      </c>
      <c r="H16" s="7">
        <v>560</v>
      </c>
      <c r="I16" s="72">
        <v>0.33</v>
      </c>
      <c r="J16" s="72">
        <v>0.34</v>
      </c>
      <c r="K16" s="72">
        <v>0.24</v>
      </c>
      <c r="L16" s="72">
        <v>0.51</v>
      </c>
      <c r="M16" s="72">
        <v>0.11</v>
      </c>
    </row>
    <row r="17" spans="1:13" ht="15" thickBot="1" x14ac:dyDescent="0.4">
      <c r="A17" s="91" t="s">
        <v>104</v>
      </c>
      <c r="B17" s="7">
        <v>250</v>
      </c>
      <c r="C17" s="72">
        <v>0.01</v>
      </c>
      <c r="D17" s="7">
        <v>240</v>
      </c>
      <c r="E17" s="7">
        <v>0</v>
      </c>
      <c r="F17" s="7">
        <v>0</v>
      </c>
      <c r="G17" s="7">
        <v>0</v>
      </c>
      <c r="H17" s="7">
        <v>15</v>
      </c>
      <c r="I17" s="72">
        <v>0.95</v>
      </c>
      <c r="J17" s="72">
        <v>0</v>
      </c>
      <c r="K17" s="72">
        <v>0</v>
      </c>
      <c r="L17" s="72">
        <v>0</v>
      </c>
      <c r="M17" s="72">
        <v>0.05</v>
      </c>
    </row>
    <row r="18" spans="1:13" ht="15" thickBot="1" x14ac:dyDescent="0.4">
      <c r="A18" s="91" t="s">
        <v>105</v>
      </c>
      <c r="B18" s="7">
        <v>1310</v>
      </c>
      <c r="C18" s="72">
        <v>0.01</v>
      </c>
      <c r="D18" s="7">
        <v>345</v>
      </c>
      <c r="E18" s="7">
        <v>550</v>
      </c>
      <c r="F18" s="7">
        <v>310</v>
      </c>
      <c r="G18" s="7">
        <v>520</v>
      </c>
      <c r="H18" s="7">
        <v>140</v>
      </c>
      <c r="I18" s="72">
        <v>0.26</v>
      </c>
      <c r="J18" s="72">
        <v>0.42</v>
      </c>
      <c r="K18" s="72">
        <v>0.24</v>
      </c>
      <c r="L18" s="72">
        <v>0.4</v>
      </c>
      <c r="M18" s="72">
        <v>0.11</v>
      </c>
    </row>
    <row r="19" spans="1:13" ht="15" thickBot="1" x14ac:dyDescent="0.4">
      <c r="A19" s="91" t="s">
        <v>106</v>
      </c>
      <c r="B19" s="7">
        <v>1385</v>
      </c>
      <c r="C19" s="72">
        <v>0.01</v>
      </c>
      <c r="D19" s="7">
        <v>380</v>
      </c>
      <c r="E19" s="7">
        <v>495</v>
      </c>
      <c r="F19" s="7">
        <v>390</v>
      </c>
      <c r="G19" s="7">
        <v>890</v>
      </c>
      <c r="H19" s="7">
        <v>175</v>
      </c>
      <c r="I19" s="72">
        <v>0.27</v>
      </c>
      <c r="J19" s="72">
        <v>0.36</v>
      </c>
      <c r="K19" s="72">
        <v>0.28000000000000003</v>
      </c>
      <c r="L19" s="72">
        <v>0.64</v>
      </c>
      <c r="M19" s="72">
        <v>0.13</v>
      </c>
    </row>
    <row r="20" spans="1:13" ht="15" thickBot="1" x14ac:dyDescent="0.4">
      <c r="A20" s="91" t="s">
        <v>107</v>
      </c>
      <c r="B20" s="7">
        <v>110</v>
      </c>
      <c r="C20" s="72">
        <v>0.01</v>
      </c>
      <c r="D20" s="7">
        <v>45</v>
      </c>
      <c r="E20" s="7">
        <v>40</v>
      </c>
      <c r="F20" s="7">
        <v>0</v>
      </c>
      <c r="G20" s="7">
        <v>85</v>
      </c>
      <c r="H20" s="7">
        <v>20</v>
      </c>
      <c r="I20" s="72">
        <v>0.41</v>
      </c>
      <c r="J20" s="72">
        <v>0.35</v>
      </c>
      <c r="K20" s="72">
        <v>0</v>
      </c>
      <c r="L20" s="72">
        <v>0.8</v>
      </c>
      <c r="M20" s="72">
        <v>0.19</v>
      </c>
    </row>
    <row r="21" spans="1:13" ht="15" thickBot="1" x14ac:dyDescent="0.4">
      <c r="A21" s="91" t="s">
        <v>245</v>
      </c>
      <c r="B21" s="7">
        <v>3050</v>
      </c>
      <c r="C21" s="72">
        <v>0.01</v>
      </c>
      <c r="D21" s="7">
        <v>1005</v>
      </c>
      <c r="E21" s="7">
        <v>1080</v>
      </c>
      <c r="F21" s="7">
        <v>700</v>
      </c>
      <c r="G21" s="7">
        <v>1495</v>
      </c>
      <c r="H21" s="7">
        <v>345</v>
      </c>
      <c r="I21" s="72">
        <v>0.33</v>
      </c>
      <c r="J21" s="72">
        <v>0.35</v>
      </c>
      <c r="K21" s="72">
        <v>0.23</v>
      </c>
      <c r="L21" s="72">
        <v>0.49</v>
      </c>
      <c r="M21" s="72">
        <v>0.11</v>
      </c>
    </row>
    <row r="22" spans="1:13" ht="29.5" thickBot="1" x14ac:dyDescent="0.4">
      <c r="A22" s="91" t="s">
        <v>108</v>
      </c>
      <c r="B22" s="7">
        <v>165</v>
      </c>
      <c r="C22" s="72">
        <v>0.01</v>
      </c>
      <c r="D22" s="7">
        <v>155</v>
      </c>
      <c r="E22" s="7">
        <v>0</v>
      </c>
      <c r="F22" s="7">
        <v>0</v>
      </c>
      <c r="G22" s="7">
        <v>0</v>
      </c>
      <c r="H22" s="7">
        <v>5</v>
      </c>
      <c r="I22" s="72">
        <v>0.96</v>
      </c>
      <c r="J22" s="72">
        <v>0</v>
      </c>
      <c r="K22" s="72">
        <v>0</v>
      </c>
      <c r="L22" s="72">
        <v>0</v>
      </c>
      <c r="M22" s="72">
        <v>0.04</v>
      </c>
    </row>
    <row r="23" spans="1:13" ht="29.5" thickBot="1" x14ac:dyDescent="0.4">
      <c r="A23" s="91" t="s">
        <v>109</v>
      </c>
      <c r="B23" s="7">
        <v>1390</v>
      </c>
      <c r="C23" s="72">
        <v>0.01</v>
      </c>
      <c r="D23" s="7">
        <v>320</v>
      </c>
      <c r="E23" s="7">
        <v>565</v>
      </c>
      <c r="F23" s="7">
        <v>340</v>
      </c>
      <c r="G23" s="7">
        <v>570</v>
      </c>
      <c r="H23" s="7">
        <v>170</v>
      </c>
      <c r="I23" s="72">
        <v>0.23</v>
      </c>
      <c r="J23" s="72">
        <v>0.41</v>
      </c>
      <c r="K23" s="72">
        <v>0.25</v>
      </c>
      <c r="L23" s="72">
        <v>0.41</v>
      </c>
      <c r="M23" s="72">
        <v>0.12</v>
      </c>
    </row>
    <row r="24" spans="1:13" ht="29.5" thickBot="1" x14ac:dyDescent="0.4">
      <c r="A24" s="91" t="s">
        <v>110</v>
      </c>
      <c r="B24" s="7">
        <v>1335</v>
      </c>
      <c r="C24" s="72">
        <v>0.01</v>
      </c>
      <c r="D24" s="7">
        <v>380</v>
      </c>
      <c r="E24" s="7">
        <v>415</v>
      </c>
      <c r="F24" s="7">
        <v>395</v>
      </c>
      <c r="G24" s="7">
        <v>870</v>
      </c>
      <c r="H24" s="7">
        <v>150</v>
      </c>
      <c r="I24" s="72">
        <v>0.28999999999999998</v>
      </c>
      <c r="J24" s="72">
        <v>0.31</v>
      </c>
      <c r="K24" s="72">
        <v>0.3</v>
      </c>
      <c r="L24" s="72">
        <v>0.65</v>
      </c>
      <c r="M24" s="72">
        <v>0.11</v>
      </c>
    </row>
    <row r="25" spans="1:13" ht="29.5" thickBot="1" x14ac:dyDescent="0.4">
      <c r="A25" s="91" t="s">
        <v>111</v>
      </c>
      <c r="B25" s="7">
        <v>100</v>
      </c>
      <c r="C25" s="72">
        <v>0.01</v>
      </c>
      <c r="D25" s="7">
        <v>55</v>
      </c>
      <c r="E25" s="7">
        <v>30</v>
      </c>
      <c r="F25" s="7">
        <v>0</v>
      </c>
      <c r="G25" s="7">
        <v>85</v>
      </c>
      <c r="H25" s="7">
        <v>10</v>
      </c>
      <c r="I25" s="72">
        <v>0.55000000000000004</v>
      </c>
      <c r="J25" s="72">
        <v>0.32</v>
      </c>
      <c r="K25" s="72">
        <v>0</v>
      </c>
      <c r="L25" s="72">
        <v>0.85</v>
      </c>
      <c r="M25" s="72">
        <v>0.11</v>
      </c>
    </row>
    <row r="26" spans="1:13" ht="15" thickBot="1" x14ac:dyDescent="0.4">
      <c r="A26" s="91" t="s">
        <v>246</v>
      </c>
      <c r="B26" s="7">
        <v>2980</v>
      </c>
      <c r="C26" s="72">
        <v>0.01</v>
      </c>
      <c r="D26" s="7">
        <v>910</v>
      </c>
      <c r="E26" s="7">
        <v>1010</v>
      </c>
      <c r="F26" s="7">
        <v>740</v>
      </c>
      <c r="G26" s="7">
        <v>1525</v>
      </c>
      <c r="H26" s="7">
        <v>335</v>
      </c>
      <c r="I26" s="72">
        <v>0.31</v>
      </c>
      <c r="J26" s="72">
        <v>0.34</v>
      </c>
      <c r="K26" s="72">
        <v>0.25</v>
      </c>
      <c r="L26" s="72">
        <v>0.51</v>
      </c>
      <c r="M26" s="72">
        <v>0.11</v>
      </c>
    </row>
    <row r="27" spans="1:13" ht="29.5" thickBot="1" x14ac:dyDescent="0.4">
      <c r="A27" s="91" t="s">
        <v>112</v>
      </c>
      <c r="B27" s="7">
        <v>430</v>
      </c>
      <c r="C27" s="72">
        <v>0.02</v>
      </c>
      <c r="D27" s="7">
        <v>415</v>
      </c>
      <c r="E27" s="7">
        <v>0</v>
      </c>
      <c r="F27" s="7">
        <v>0</v>
      </c>
      <c r="G27" s="7">
        <v>0</v>
      </c>
      <c r="H27" s="7">
        <v>15</v>
      </c>
      <c r="I27" s="72">
        <v>0.97</v>
      </c>
      <c r="J27" s="72">
        <v>0</v>
      </c>
      <c r="K27" s="72">
        <v>0</v>
      </c>
      <c r="L27" s="72">
        <v>0</v>
      </c>
      <c r="M27" s="72">
        <v>0.03</v>
      </c>
    </row>
    <row r="28" spans="1:13" ht="29.5" thickBot="1" x14ac:dyDescent="0.4">
      <c r="A28" s="91" t="s">
        <v>113</v>
      </c>
      <c r="B28" s="7">
        <v>3320</v>
      </c>
      <c r="C28" s="72">
        <v>0.03</v>
      </c>
      <c r="D28" s="7">
        <v>875</v>
      </c>
      <c r="E28" s="7">
        <v>1405</v>
      </c>
      <c r="F28" s="7">
        <v>735</v>
      </c>
      <c r="G28" s="7">
        <v>1445</v>
      </c>
      <c r="H28" s="7">
        <v>375</v>
      </c>
      <c r="I28" s="72">
        <v>0.26</v>
      </c>
      <c r="J28" s="72">
        <v>0.42</v>
      </c>
      <c r="K28" s="72">
        <v>0.22</v>
      </c>
      <c r="L28" s="72">
        <v>0.44</v>
      </c>
      <c r="M28" s="72">
        <v>0.11</v>
      </c>
    </row>
    <row r="29" spans="1:13" ht="29.5" thickBot="1" x14ac:dyDescent="0.4">
      <c r="A29" s="91" t="s">
        <v>114</v>
      </c>
      <c r="B29" s="7">
        <v>3090</v>
      </c>
      <c r="C29" s="72">
        <v>0.03</v>
      </c>
      <c r="D29" s="7">
        <v>855</v>
      </c>
      <c r="E29" s="7">
        <v>1095</v>
      </c>
      <c r="F29" s="7">
        <v>920</v>
      </c>
      <c r="G29" s="7">
        <v>2015</v>
      </c>
      <c r="H29" s="7">
        <v>320</v>
      </c>
      <c r="I29" s="72">
        <v>0.28000000000000003</v>
      </c>
      <c r="J29" s="72">
        <v>0.35</v>
      </c>
      <c r="K29" s="72">
        <v>0.3</v>
      </c>
      <c r="L29" s="72">
        <v>0.65</v>
      </c>
      <c r="M29" s="72">
        <v>0.1</v>
      </c>
    </row>
    <row r="30" spans="1:13" ht="29.5" thickBot="1" x14ac:dyDescent="0.4">
      <c r="A30" s="91" t="s">
        <v>115</v>
      </c>
      <c r="B30" s="7">
        <v>245</v>
      </c>
      <c r="C30" s="72">
        <v>0.02</v>
      </c>
      <c r="D30" s="7">
        <v>105</v>
      </c>
      <c r="E30" s="7">
        <v>90</v>
      </c>
      <c r="F30" s="7">
        <v>0</v>
      </c>
      <c r="G30" s="7">
        <v>195</v>
      </c>
      <c r="H30" s="7">
        <v>45</v>
      </c>
      <c r="I30" s="72">
        <v>0.43</v>
      </c>
      <c r="J30" s="72">
        <v>0.37</v>
      </c>
      <c r="K30" s="72">
        <v>0</v>
      </c>
      <c r="L30" s="72">
        <v>0.78</v>
      </c>
      <c r="M30" s="72">
        <v>0.18</v>
      </c>
    </row>
    <row r="31" spans="1:13" ht="29.5" thickBot="1" x14ac:dyDescent="0.4">
      <c r="A31" s="91" t="s">
        <v>247</v>
      </c>
      <c r="B31" s="7">
        <v>7085</v>
      </c>
      <c r="C31" s="72">
        <v>0.03</v>
      </c>
      <c r="D31" s="7">
        <v>2250</v>
      </c>
      <c r="E31" s="7">
        <v>2590</v>
      </c>
      <c r="F31" s="7">
        <v>1650</v>
      </c>
      <c r="G31" s="7">
        <v>3655</v>
      </c>
      <c r="H31" s="7">
        <v>755</v>
      </c>
      <c r="I31" s="72">
        <v>0.32</v>
      </c>
      <c r="J31" s="72">
        <v>0.37</v>
      </c>
      <c r="K31" s="72">
        <v>0.23</v>
      </c>
      <c r="L31" s="72">
        <v>0.52</v>
      </c>
      <c r="M31" s="72">
        <v>0.11</v>
      </c>
    </row>
    <row r="32" spans="1:13" ht="15" thickBot="1" x14ac:dyDescent="0.4">
      <c r="A32" s="91" t="s">
        <v>116</v>
      </c>
      <c r="B32" s="7">
        <v>615</v>
      </c>
      <c r="C32" s="72">
        <v>0.03</v>
      </c>
      <c r="D32" s="7">
        <v>595</v>
      </c>
      <c r="E32" s="7">
        <v>0</v>
      </c>
      <c r="F32" s="7">
        <v>0</v>
      </c>
      <c r="G32" s="7">
        <v>0</v>
      </c>
      <c r="H32" s="7">
        <v>15</v>
      </c>
      <c r="I32" s="72">
        <v>0.97</v>
      </c>
      <c r="J32" s="72">
        <v>0</v>
      </c>
      <c r="K32" s="72">
        <v>0</v>
      </c>
      <c r="L32" s="72">
        <v>0</v>
      </c>
      <c r="M32" s="72">
        <v>0.03</v>
      </c>
    </row>
    <row r="33" spans="1:13" ht="15" thickBot="1" x14ac:dyDescent="0.4">
      <c r="A33" s="91" t="s">
        <v>117</v>
      </c>
      <c r="B33" s="7">
        <v>4520</v>
      </c>
      <c r="C33" s="72">
        <v>0.04</v>
      </c>
      <c r="D33" s="7">
        <v>1075</v>
      </c>
      <c r="E33" s="7">
        <v>1805</v>
      </c>
      <c r="F33" s="7">
        <v>1040</v>
      </c>
      <c r="G33" s="7">
        <v>1935</v>
      </c>
      <c r="H33" s="7">
        <v>550</v>
      </c>
      <c r="I33" s="72">
        <v>0.24</v>
      </c>
      <c r="J33" s="72">
        <v>0.4</v>
      </c>
      <c r="K33" s="72">
        <v>0.23</v>
      </c>
      <c r="L33" s="72">
        <v>0.43</v>
      </c>
      <c r="M33" s="72">
        <v>0.12</v>
      </c>
    </row>
    <row r="34" spans="1:13" ht="15" thickBot="1" x14ac:dyDescent="0.4">
      <c r="A34" s="91" t="s">
        <v>118</v>
      </c>
      <c r="B34" s="7">
        <v>3790</v>
      </c>
      <c r="C34" s="72">
        <v>0.03</v>
      </c>
      <c r="D34" s="7">
        <v>1065</v>
      </c>
      <c r="E34" s="7">
        <v>1200</v>
      </c>
      <c r="F34" s="7">
        <v>1055</v>
      </c>
      <c r="G34" s="7">
        <v>2505</v>
      </c>
      <c r="H34" s="7">
        <v>450</v>
      </c>
      <c r="I34" s="72">
        <v>0.28000000000000003</v>
      </c>
      <c r="J34" s="72">
        <v>0.32</v>
      </c>
      <c r="K34" s="72">
        <v>0.28000000000000003</v>
      </c>
      <c r="L34" s="72">
        <v>0.66</v>
      </c>
      <c r="M34" s="72">
        <v>0.12</v>
      </c>
    </row>
    <row r="35" spans="1:13" ht="15" thickBot="1" x14ac:dyDescent="0.4">
      <c r="A35" s="91" t="s">
        <v>119</v>
      </c>
      <c r="B35" s="7">
        <v>320</v>
      </c>
      <c r="C35" s="72">
        <v>0.03</v>
      </c>
      <c r="D35" s="7">
        <v>150</v>
      </c>
      <c r="E35" s="7">
        <v>120</v>
      </c>
      <c r="F35" s="7">
        <v>0</v>
      </c>
      <c r="G35" s="7">
        <v>275</v>
      </c>
      <c r="H35" s="7">
        <v>40</v>
      </c>
      <c r="I35" s="72">
        <v>0.46</v>
      </c>
      <c r="J35" s="72">
        <v>0.37</v>
      </c>
      <c r="K35" s="72">
        <v>0</v>
      </c>
      <c r="L35" s="72">
        <v>0.85</v>
      </c>
      <c r="M35" s="72">
        <v>0.12</v>
      </c>
    </row>
    <row r="36" spans="1:13" ht="15" thickBot="1" x14ac:dyDescent="0.4">
      <c r="A36" s="91" t="s">
        <v>248</v>
      </c>
      <c r="B36" s="7">
        <v>9250</v>
      </c>
      <c r="C36" s="72">
        <v>0.03</v>
      </c>
      <c r="D36" s="7">
        <v>2890</v>
      </c>
      <c r="E36" s="7">
        <v>3125</v>
      </c>
      <c r="F36" s="7">
        <v>2095</v>
      </c>
      <c r="G36" s="7">
        <v>4715</v>
      </c>
      <c r="H36" s="7">
        <v>1060</v>
      </c>
      <c r="I36" s="72">
        <v>0.31</v>
      </c>
      <c r="J36" s="72">
        <v>0.34</v>
      </c>
      <c r="K36" s="72">
        <v>0.23</v>
      </c>
      <c r="L36" s="72">
        <v>0.51</v>
      </c>
      <c r="M36" s="72">
        <v>0.11</v>
      </c>
    </row>
    <row r="37" spans="1:13" ht="15" thickBot="1" x14ac:dyDescent="0.4">
      <c r="A37" s="91" t="s">
        <v>120</v>
      </c>
      <c r="B37" s="7">
        <v>545</v>
      </c>
      <c r="C37" s="72">
        <v>0.03</v>
      </c>
      <c r="D37" s="7">
        <v>520</v>
      </c>
      <c r="E37" s="7">
        <v>0</v>
      </c>
      <c r="F37" s="7">
        <v>0</v>
      </c>
      <c r="G37" s="7">
        <v>0</v>
      </c>
      <c r="H37" s="7">
        <v>25</v>
      </c>
      <c r="I37" s="72">
        <v>0.95</v>
      </c>
      <c r="J37" s="72">
        <v>0</v>
      </c>
      <c r="K37" s="72">
        <v>0</v>
      </c>
      <c r="L37" s="72">
        <v>0</v>
      </c>
      <c r="M37" s="72">
        <v>0.05</v>
      </c>
    </row>
    <row r="38" spans="1:13" ht="15" thickBot="1" x14ac:dyDescent="0.4">
      <c r="A38" s="91" t="s">
        <v>121</v>
      </c>
      <c r="B38" s="7">
        <v>3795</v>
      </c>
      <c r="C38" s="72">
        <v>0.03</v>
      </c>
      <c r="D38" s="7">
        <v>975</v>
      </c>
      <c r="E38" s="7">
        <v>1525</v>
      </c>
      <c r="F38" s="7">
        <v>755</v>
      </c>
      <c r="G38" s="7">
        <v>1585</v>
      </c>
      <c r="H38" s="7">
        <v>505</v>
      </c>
      <c r="I38" s="72">
        <v>0.26</v>
      </c>
      <c r="J38" s="72">
        <v>0.4</v>
      </c>
      <c r="K38" s="72">
        <v>0.2</v>
      </c>
      <c r="L38" s="72">
        <v>0.42</v>
      </c>
      <c r="M38" s="72">
        <v>0.13</v>
      </c>
    </row>
    <row r="39" spans="1:13" ht="15" thickBot="1" x14ac:dyDescent="0.4">
      <c r="A39" s="91" t="s">
        <v>122</v>
      </c>
      <c r="B39" s="7">
        <v>3400</v>
      </c>
      <c r="C39" s="72">
        <v>0.03</v>
      </c>
      <c r="D39" s="7">
        <v>995</v>
      </c>
      <c r="E39" s="7">
        <v>1095</v>
      </c>
      <c r="F39" s="7">
        <v>960</v>
      </c>
      <c r="G39" s="7">
        <v>2260</v>
      </c>
      <c r="H39" s="7">
        <v>385</v>
      </c>
      <c r="I39" s="72">
        <v>0.28999999999999998</v>
      </c>
      <c r="J39" s="72">
        <v>0.32</v>
      </c>
      <c r="K39" s="72">
        <v>0.28000000000000003</v>
      </c>
      <c r="L39" s="72">
        <v>0.66</v>
      </c>
      <c r="M39" s="72">
        <v>0.11</v>
      </c>
    </row>
    <row r="40" spans="1:13" ht="15" thickBot="1" x14ac:dyDescent="0.4">
      <c r="A40" s="91" t="s">
        <v>123</v>
      </c>
      <c r="B40" s="7">
        <v>320</v>
      </c>
      <c r="C40" s="72">
        <v>0.03</v>
      </c>
      <c r="D40" s="7">
        <v>140</v>
      </c>
      <c r="E40" s="7">
        <v>115</v>
      </c>
      <c r="F40" s="7">
        <v>0</v>
      </c>
      <c r="G40" s="7">
        <v>245</v>
      </c>
      <c r="H40" s="7">
        <v>60</v>
      </c>
      <c r="I40" s="72">
        <v>0.44</v>
      </c>
      <c r="J40" s="72">
        <v>0.37</v>
      </c>
      <c r="K40" s="72">
        <v>0</v>
      </c>
      <c r="L40" s="72">
        <v>0.76</v>
      </c>
      <c r="M40" s="72">
        <v>0.18</v>
      </c>
    </row>
    <row r="41" spans="1:13" ht="15" thickBot="1" x14ac:dyDescent="0.4">
      <c r="A41" s="91" t="s">
        <v>249</v>
      </c>
      <c r="B41" s="7">
        <v>8060</v>
      </c>
      <c r="C41" s="72">
        <v>0.03</v>
      </c>
      <c r="D41" s="7">
        <v>2630</v>
      </c>
      <c r="E41" s="7">
        <v>2735</v>
      </c>
      <c r="F41" s="7">
        <v>1715</v>
      </c>
      <c r="G41" s="7">
        <v>4090</v>
      </c>
      <c r="H41" s="7">
        <v>970</v>
      </c>
      <c r="I41" s="72">
        <v>0.33</v>
      </c>
      <c r="J41" s="72">
        <v>0.34</v>
      </c>
      <c r="K41" s="72">
        <v>0.21</v>
      </c>
      <c r="L41" s="72">
        <v>0.51</v>
      </c>
      <c r="M41" s="72">
        <v>0.12</v>
      </c>
    </row>
    <row r="42" spans="1:13" ht="29.5" thickBot="1" x14ac:dyDescent="0.4">
      <c r="A42" s="91" t="s">
        <v>124</v>
      </c>
      <c r="B42" s="7">
        <v>170</v>
      </c>
      <c r="C42" s="72">
        <v>0.01</v>
      </c>
      <c r="D42" s="7">
        <v>165</v>
      </c>
      <c r="E42" s="7">
        <v>0</v>
      </c>
      <c r="F42" s="7">
        <v>0</v>
      </c>
      <c r="G42" s="7">
        <v>0</v>
      </c>
      <c r="H42" s="7">
        <v>5</v>
      </c>
      <c r="I42" s="72">
        <v>0.98</v>
      </c>
      <c r="J42" s="72">
        <v>0</v>
      </c>
      <c r="K42" s="72">
        <v>0</v>
      </c>
      <c r="L42" s="72">
        <v>0</v>
      </c>
      <c r="M42" s="72">
        <v>0.02</v>
      </c>
    </row>
    <row r="43" spans="1:13" ht="29.5" thickBot="1" x14ac:dyDescent="0.4">
      <c r="A43" s="91" t="s">
        <v>125</v>
      </c>
      <c r="B43" s="7">
        <v>1195</v>
      </c>
      <c r="C43" s="72">
        <v>0.01</v>
      </c>
      <c r="D43" s="7">
        <v>315</v>
      </c>
      <c r="E43" s="7">
        <v>485</v>
      </c>
      <c r="F43" s="7">
        <v>260</v>
      </c>
      <c r="G43" s="7">
        <v>485</v>
      </c>
      <c r="H43" s="7">
        <v>160</v>
      </c>
      <c r="I43" s="72">
        <v>0.27</v>
      </c>
      <c r="J43" s="72">
        <v>0.4</v>
      </c>
      <c r="K43" s="72">
        <v>0.22</v>
      </c>
      <c r="L43" s="72">
        <v>0.41</v>
      </c>
      <c r="M43" s="72">
        <v>0.13</v>
      </c>
    </row>
    <row r="44" spans="1:13" ht="29.5" thickBot="1" x14ac:dyDescent="0.4">
      <c r="A44" s="91" t="s">
        <v>126</v>
      </c>
      <c r="B44" s="7">
        <v>1215</v>
      </c>
      <c r="C44" s="72">
        <v>0.01</v>
      </c>
      <c r="D44" s="7">
        <v>310</v>
      </c>
      <c r="E44" s="7">
        <v>375</v>
      </c>
      <c r="F44" s="7">
        <v>385</v>
      </c>
      <c r="G44" s="7">
        <v>715</v>
      </c>
      <c r="H44" s="7">
        <v>155</v>
      </c>
      <c r="I44" s="72">
        <v>0.25</v>
      </c>
      <c r="J44" s="72">
        <v>0.31</v>
      </c>
      <c r="K44" s="72">
        <v>0.32</v>
      </c>
      <c r="L44" s="72">
        <v>0.59</v>
      </c>
      <c r="M44" s="72">
        <v>0.13</v>
      </c>
    </row>
    <row r="45" spans="1:13" ht="29.5" thickBot="1" x14ac:dyDescent="0.4">
      <c r="A45" s="91" t="s">
        <v>127</v>
      </c>
      <c r="B45" s="7">
        <v>100</v>
      </c>
      <c r="C45" s="72">
        <v>0.01</v>
      </c>
      <c r="D45" s="7">
        <v>40</v>
      </c>
      <c r="E45" s="7">
        <v>30</v>
      </c>
      <c r="F45" s="7">
        <v>0</v>
      </c>
      <c r="G45" s="7">
        <v>75</v>
      </c>
      <c r="H45" s="7">
        <v>20</v>
      </c>
      <c r="I45" s="72">
        <v>0.41</v>
      </c>
      <c r="J45" s="72">
        <v>0.32</v>
      </c>
      <c r="K45" s="72">
        <v>0</v>
      </c>
      <c r="L45" s="72">
        <v>0.74</v>
      </c>
      <c r="M45" s="72">
        <v>0.21</v>
      </c>
    </row>
    <row r="46" spans="1:13" ht="29.5" thickBot="1" x14ac:dyDescent="0.4">
      <c r="A46" s="91" t="s">
        <v>250</v>
      </c>
      <c r="B46" s="7">
        <v>2680</v>
      </c>
      <c r="C46" s="72">
        <v>0.01</v>
      </c>
      <c r="D46" s="7">
        <v>835</v>
      </c>
      <c r="E46" s="7">
        <v>890</v>
      </c>
      <c r="F46" s="7">
        <v>645</v>
      </c>
      <c r="G46" s="7">
        <v>1275</v>
      </c>
      <c r="H46" s="7">
        <v>340</v>
      </c>
      <c r="I46" s="72">
        <v>0.31</v>
      </c>
      <c r="J46" s="72">
        <v>0.33</v>
      </c>
      <c r="K46" s="72">
        <v>0.24</v>
      </c>
      <c r="L46" s="72">
        <v>0.48</v>
      </c>
      <c r="M46" s="72">
        <v>0.13</v>
      </c>
    </row>
    <row r="47" spans="1:13" ht="15" thickBot="1" x14ac:dyDescent="0.4">
      <c r="A47" s="91" t="s">
        <v>128</v>
      </c>
      <c r="B47" s="7">
        <v>300</v>
      </c>
      <c r="C47" s="72">
        <v>0.02</v>
      </c>
      <c r="D47" s="7">
        <v>290</v>
      </c>
      <c r="E47" s="7">
        <v>0</v>
      </c>
      <c r="F47" s="7">
        <v>0</v>
      </c>
      <c r="G47" s="7">
        <v>0</v>
      </c>
      <c r="H47" s="7">
        <v>10</v>
      </c>
      <c r="I47" s="72">
        <v>0.97</v>
      </c>
      <c r="J47" s="72">
        <v>0</v>
      </c>
      <c r="K47" s="72">
        <v>0</v>
      </c>
      <c r="L47" s="72">
        <v>0</v>
      </c>
      <c r="M47" s="72">
        <v>0.03</v>
      </c>
    </row>
    <row r="48" spans="1:13" ht="15" thickBot="1" x14ac:dyDescent="0.4">
      <c r="A48" s="91" t="s">
        <v>129</v>
      </c>
      <c r="B48" s="7">
        <v>2070</v>
      </c>
      <c r="C48" s="72">
        <v>0.02</v>
      </c>
      <c r="D48" s="7">
        <v>485</v>
      </c>
      <c r="E48" s="7">
        <v>830</v>
      </c>
      <c r="F48" s="7">
        <v>510</v>
      </c>
      <c r="G48" s="7">
        <v>830</v>
      </c>
      <c r="H48" s="7">
        <v>265</v>
      </c>
      <c r="I48" s="72">
        <v>0.24</v>
      </c>
      <c r="J48" s="72">
        <v>0.4</v>
      </c>
      <c r="K48" s="72">
        <v>0.25</v>
      </c>
      <c r="L48" s="72">
        <v>0.4</v>
      </c>
      <c r="M48" s="72">
        <v>0.13</v>
      </c>
    </row>
    <row r="49" spans="1:13" ht="15" thickBot="1" x14ac:dyDescent="0.4">
      <c r="A49" s="91" t="s">
        <v>130</v>
      </c>
      <c r="B49" s="7">
        <v>1915</v>
      </c>
      <c r="C49" s="72">
        <v>0.02</v>
      </c>
      <c r="D49" s="7">
        <v>525</v>
      </c>
      <c r="E49" s="7">
        <v>605</v>
      </c>
      <c r="F49" s="7">
        <v>595</v>
      </c>
      <c r="G49" s="7">
        <v>1210</v>
      </c>
      <c r="H49" s="7">
        <v>235</v>
      </c>
      <c r="I49" s="72">
        <v>0.27</v>
      </c>
      <c r="J49" s="72">
        <v>0.32</v>
      </c>
      <c r="K49" s="72">
        <v>0.31</v>
      </c>
      <c r="L49" s="72">
        <v>0.63</v>
      </c>
      <c r="M49" s="72">
        <v>0.12</v>
      </c>
    </row>
    <row r="50" spans="1:13" ht="15" thickBot="1" x14ac:dyDescent="0.4">
      <c r="A50" s="91" t="s">
        <v>131</v>
      </c>
      <c r="B50" s="7">
        <v>170</v>
      </c>
      <c r="C50" s="72">
        <v>0.02</v>
      </c>
      <c r="D50" s="7">
        <v>85</v>
      </c>
      <c r="E50" s="7">
        <v>75</v>
      </c>
      <c r="F50" s="7">
        <v>0</v>
      </c>
      <c r="G50" s="7">
        <v>145</v>
      </c>
      <c r="H50" s="7">
        <v>20</v>
      </c>
      <c r="I50" s="72">
        <v>0.49</v>
      </c>
      <c r="J50" s="72">
        <v>0.43</v>
      </c>
      <c r="K50" s="72">
        <v>0</v>
      </c>
      <c r="L50" s="72">
        <v>0.85</v>
      </c>
      <c r="M50" s="72">
        <v>0.12</v>
      </c>
    </row>
    <row r="51" spans="1:13" ht="15" thickBot="1" x14ac:dyDescent="0.4">
      <c r="A51" s="91" t="s">
        <v>251</v>
      </c>
      <c r="B51" s="7">
        <v>4455</v>
      </c>
      <c r="C51" s="72">
        <v>0.02</v>
      </c>
      <c r="D51" s="7">
        <v>1390</v>
      </c>
      <c r="E51" s="7">
        <v>1510</v>
      </c>
      <c r="F51" s="7">
        <v>1105</v>
      </c>
      <c r="G51" s="7">
        <v>2185</v>
      </c>
      <c r="H51" s="7">
        <v>530</v>
      </c>
      <c r="I51" s="72">
        <v>0.31</v>
      </c>
      <c r="J51" s="72">
        <v>0.34</v>
      </c>
      <c r="K51" s="72">
        <v>0.25</v>
      </c>
      <c r="L51" s="72">
        <v>0.49</v>
      </c>
      <c r="M51" s="72">
        <v>0.12</v>
      </c>
    </row>
    <row r="52" spans="1:13" ht="29.5" thickBot="1" x14ac:dyDescent="0.4">
      <c r="A52" s="91" t="s">
        <v>132</v>
      </c>
      <c r="B52" s="7">
        <v>180</v>
      </c>
      <c r="C52" s="72">
        <v>0.01</v>
      </c>
      <c r="D52" s="7">
        <v>170</v>
      </c>
      <c r="E52" s="7">
        <v>0</v>
      </c>
      <c r="F52" s="7">
        <v>0</v>
      </c>
      <c r="G52" s="7">
        <v>0</v>
      </c>
      <c r="H52" s="7">
        <v>10</v>
      </c>
      <c r="I52" s="72">
        <v>0.96</v>
      </c>
      <c r="J52" s="72">
        <v>0</v>
      </c>
      <c r="K52" s="72">
        <v>0</v>
      </c>
      <c r="L52" s="72">
        <v>0</v>
      </c>
      <c r="M52" s="72">
        <v>0.04</v>
      </c>
    </row>
    <row r="53" spans="1:13" ht="29.5" thickBot="1" x14ac:dyDescent="0.4">
      <c r="A53" s="91" t="s">
        <v>133</v>
      </c>
      <c r="B53" s="7">
        <v>1065</v>
      </c>
      <c r="C53" s="72">
        <v>0.01</v>
      </c>
      <c r="D53" s="7">
        <v>260</v>
      </c>
      <c r="E53" s="7">
        <v>430</v>
      </c>
      <c r="F53" s="7">
        <v>250</v>
      </c>
      <c r="G53" s="7">
        <v>400</v>
      </c>
      <c r="H53" s="7">
        <v>135</v>
      </c>
      <c r="I53" s="72">
        <v>0.24</v>
      </c>
      <c r="J53" s="72">
        <v>0.41</v>
      </c>
      <c r="K53" s="72">
        <v>0.24</v>
      </c>
      <c r="L53" s="72">
        <v>0.38</v>
      </c>
      <c r="M53" s="72">
        <v>0.13</v>
      </c>
    </row>
    <row r="54" spans="1:13" ht="29.5" thickBot="1" x14ac:dyDescent="0.4">
      <c r="A54" s="91" t="s">
        <v>134</v>
      </c>
      <c r="B54" s="7">
        <v>1070</v>
      </c>
      <c r="C54" s="72">
        <v>0.01</v>
      </c>
      <c r="D54" s="7">
        <v>290</v>
      </c>
      <c r="E54" s="7">
        <v>350</v>
      </c>
      <c r="F54" s="7">
        <v>330</v>
      </c>
      <c r="G54" s="7">
        <v>685</v>
      </c>
      <c r="H54" s="7">
        <v>120</v>
      </c>
      <c r="I54" s="72">
        <v>0.27</v>
      </c>
      <c r="J54" s="72">
        <v>0.33</v>
      </c>
      <c r="K54" s="72">
        <v>0.31</v>
      </c>
      <c r="L54" s="72">
        <v>0.64</v>
      </c>
      <c r="M54" s="72">
        <v>0.11</v>
      </c>
    </row>
    <row r="55" spans="1:13" ht="29.5" thickBot="1" x14ac:dyDescent="0.4">
      <c r="A55" s="91" t="s">
        <v>135</v>
      </c>
      <c r="B55" s="7">
        <v>100</v>
      </c>
      <c r="C55" s="72">
        <v>0.01</v>
      </c>
      <c r="D55" s="7">
        <v>45</v>
      </c>
      <c r="E55" s="7">
        <v>30</v>
      </c>
      <c r="F55" s="7">
        <v>0</v>
      </c>
      <c r="G55" s="7">
        <v>75</v>
      </c>
      <c r="H55" s="7">
        <v>20</v>
      </c>
      <c r="I55" s="72">
        <v>0.47</v>
      </c>
      <c r="J55" s="72">
        <v>0.3</v>
      </c>
      <c r="K55" s="72">
        <v>0</v>
      </c>
      <c r="L55" s="72">
        <v>0.76</v>
      </c>
      <c r="M55" s="72">
        <v>0.21</v>
      </c>
    </row>
    <row r="56" spans="1:13" ht="15" thickBot="1" x14ac:dyDescent="0.4">
      <c r="A56" s="91" t="s">
        <v>252</v>
      </c>
      <c r="B56" s="7">
        <v>2415</v>
      </c>
      <c r="C56" s="72">
        <v>0.01</v>
      </c>
      <c r="D56" s="7">
        <v>765</v>
      </c>
      <c r="E56" s="7">
        <v>810</v>
      </c>
      <c r="F56" s="7">
        <v>585</v>
      </c>
      <c r="G56" s="7">
        <v>1155</v>
      </c>
      <c r="H56" s="7">
        <v>280</v>
      </c>
      <c r="I56" s="72">
        <v>0.32</v>
      </c>
      <c r="J56" s="72">
        <v>0.34</v>
      </c>
      <c r="K56" s="72">
        <v>0.24</v>
      </c>
      <c r="L56" s="72">
        <v>0.48</v>
      </c>
      <c r="M56" s="72">
        <v>0.12</v>
      </c>
    </row>
    <row r="57" spans="1:13" ht="29.5" thickBot="1" x14ac:dyDescent="0.4">
      <c r="A57" s="91" t="s">
        <v>136</v>
      </c>
      <c r="B57" s="7">
        <v>1030</v>
      </c>
      <c r="C57" s="72">
        <v>0.05</v>
      </c>
      <c r="D57" s="7">
        <v>995</v>
      </c>
      <c r="E57" s="7">
        <v>0</v>
      </c>
      <c r="F57" s="7">
        <v>0</v>
      </c>
      <c r="G57" s="7">
        <v>0</v>
      </c>
      <c r="H57" s="7">
        <v>35</v>
      </c>
      <c r="I57" s="72">
        <v>0.97</v>
      </c>
      <c r="J57" s="72">
        <v>0</v>
      </c>
      <c r="K57" s="72">
        <v>0</v>
      </c>
      <c r="L57" s="72">
        <v>0</v>
      </c>
      <c r="M57" s="72">
        <v>0.03</v>
      </c>
    </row>
    <row r="58" spans="1:13" ht="29.5" thickBot="1" x14ac:dyDescent="0.4">
      <c r="A58" s="91" t="s">
        <v>137</v>
      </c>
      <c r="B58" s="7">
        <v>7120</v>
      </c>
      <c r="C58" s="72">
        <v>0.06</v>
      </c>
      <c r="D58" s="7">
        <v>1855</v>
      </c>
      <c r="E58" s="7">
        <v>2730</v>
      </c>
      <c r="F58" s="7">
        <v>1560</v>
      </c>
      <c r="G58" s="7">
        <v>3120</v>
      </c>
      <c r="H58" s="7">
        <v>855</v>
      </c>
      <c r="I58" s="72">
        <v>0.26</v>
      </c>
      <c r="J58" s="72">
        <v>0.38</v>
      </c>
      <c r="K58" s="72">
        <v>0.22</v>
      </c>
      <c r="L58" s="72">
        <v>0.44</v>
      </c>
      <c r="M58" s="72">
        <v>0.12</v>
      </c>
    </row>
    <row r="59" spans="1:13" ht="29.5" thickBot="1" x14ac:dyDescent="0.4">
      <c r="A59" s="91" t="s">
        <v>138</v>
      </c>
      <c r="B59" s="7">
        <v>8005</v>
      </c>
      <c r="C59" s="72">
        <v>7.0000000000000007E-2</v>
      </c>
      <c r="D59" s="7">
        <v>2270</v>
      </c>
      <c r="E59" s="7">
        <v>2625</v>
      </c>
      <c r="F59" s="7">
        <v>2260</v>
      </c>
      <c r="G59" s="7">
        <v>5175</v>
      </c>
      <c r="H59" s="7">
        <v>920</v>
      </c>
      <c r="I59" s="72">
        <v>0.28000000000000003</v>
      </c>
      <c r="J59" s="72">
        <v>0.33</v>
      </c>
      <c r="K59" s="72">
        <v>0.28000000000000003</v>
      </c>
      <c r="L59" s="72">
        <v>0.65</v>
      </c>
      <c r="M59" s="72">
        <v>0.12</v>
      </c>
    </row>
    <row r="60" spans="1:13" ht="29.5" thickBot="1" x14ac:dyDescent="0.4">
      <c r="A60" s="91" t="s">
        <v>139</v>
      </c>
      <c r="B60" s="7">
        <v>705</v>
      </c>
      <c r="C60" s="72">
        <v>7.0000000000000007E-2</v>
      </c>
      <c r="D60" s="7">
        <v>340</v>
      </c>
      <c r="E60" s="7">
        <v>245</v>
      </c>
      <c r="F60" s="7">
        <v>0</v>
      </c>
      <c r="G60" s="7">
        <v>560</v>
      </c>
      <c r="H60" s="7">
        <v>105</v>
      </c>
      <c r="I60" s="72">
        <v>0.48</v>
      </c>
      <c r="J60" s="72">
        <v>0.35</v>
      </c>
      <c r="K60" s="72">
        <v>0</v>
      </c>
      <c r="L60" s="72">
        <v>0.8</v>
      </c>
      <c r="M60" s="72">
        <v>0.15</v>
      </c>
    </row>
    <row r="61" spans="1:13" ht="15" thickBot="1" x14ac:dyDescent="0.4">
      <c r="A61" s="91" t="s">
        <v>253</v>
      </c>
      <c r="B61" s="7">
        <v>16860</v>
      </c>
      <c r="C61" s="72">
        <v>0.06</v>
      </c>
      <c r="D61" s="7">
        <v>5465</v>
      </c>
      <c r="E61" s="7">
        <v>5600</v>
      </c>
      <c r="F61" s="7">
        <v>3815</v>
      </c>
      <c r="G61" s="7">
        <v>8855</v>
      </c>
      <c r="H61" s="7">
        <v>1915</v>
      </c>
      <c r="I61" s="72">
        <v>0.32</v>
      </c>
      <c r="J61" s="72">
        <v>0.33</v>
      </c>
      <c r="K61" s="72">
        <v>0.23</v>
      </c>
      <c r="L61" s="72">
        <v>0.53</v>
      </c>
      <c r="M61" s="72">
        <v>0.11</v>
      </c>
    </row>
    <row r="62" spans="1:13" ht="15" thickBot="1" x14ac:dyDescent="0.4">
      <c r="A62" s="91" t="s">
        <v>140</v>
      </c>
      <c r="B62" s="7">
        <v>520</v>
      </c>
      <c r="C62" s="72">
        <v>0.03</v>
      </c>
      <c r="D62" s="7">
        <v>495</v>
      </c>
      <c r="E62" s="7">
        <v>0</v>
      </c>
      <c r="F62" s="7">
        <v>0</v>
      </c>
      <c r="G62" s="7">
        <v>0</v>
      </c>
      <c r="H62" s="7">
        <v>25</v>
      </c>
      <c r="I62" s="72">
        <v>0.95</v>
      </c>
      <c r="J62" s="72">
        <v>0</v>
      </c>
      <c r="K62" s="72">
        <v>0</v>
      </c>
      <c r="L62" s="72">
        <v>0</v>
      </c>
      <c r="M62" s="72">
        <v>0.05</v>
      </c>
    </row>
    <row r="63" spans="1:13" ht="15" thickBot="1" x14ac:dyDescent="0.4">
      <c r="A63" s="91" t="s">
        <v>141</v>
      </c>
      <c r="B63" s="7">
        <v>3555</v>
      </c>
      <c r="C63" s="72">
        <v>0.03</v>
      </c>
      <c r="D63" s="7">
        <v>970</v>
      </c>
      <c r="E63" s="7">
        <v>1390</v>
      </c>
      <c r="F63" s="7">
        <v>770</v>
      </c>
      <c r="G63" s="7">
        <v>1580</v>
      </c>
      <c r="H63" s="7">
        <v>400</v>
      </c>
      <c r="I63" s="72">
        <v>0.27</v>
      </c>
      <c r="J63" s="72">
        <v>0.39</v>
      </c>
      <c r="K63" s="72">
        <v>0.22</v>
      </c>
      <c r="L63" s="72">
        <v>0.44</v>
      </c>
      <c r="M63" s="72">
        <v>0.11</v>
      </c>
    </row>
    <row r="64" spans="1:13" ht="15" thickBot="1" x14ac:dyDescent="0.4">
      <c r="A64" s="91" t="s">
        <v>142</v>
      </c>
      <c r="B64" s="7">
        <v>3315</v>
      </c>
      <c r="C64" s="72">
        <v>0.03</v>
      </c>
      <c r="D64" s="7">
        <v>935</v>
      </c>
      <c r="E64" s="7">
        <v>1115</v>
      </c>
      <c r="F64" s="7">
        <v>970</v>
      </c>
      <c r="G64" s="7">
        <v>2195</v>
      </c>
      <c r="H64" s="7">
        <v>350</v>
      </c>
      <c r="I64" s="72">
        <v>0.28000000000000003</v>
      </c>
      <c r="J64" s="72">
        <v>0.34</v>
      </c>
      <c r="K64" s="72">
        <v>0.28999999999999998</v>
      </c>
      <c r="L64" s="72">
        <v>0.66</v>
      </c>
      <c r="M64" s="72">
        <v>0.1</v>
      </c>
    </row>
    <row r="65" spans="1:13" ht="15" thickBot="1" x14ac:dyDescent="0.4">
      <c r="A65" s="91" t="s">
        <v>143</v>
      </c>
      <c r="B65" s="7">
        <v>270</v>
      </c>
      <c r="C65" s="72">
        <v>0.03</v>
      </c>
      <c r="D65" s="7">
        <v>110</v>
      </c>
      <c r="E65" s="7">
        <v>90</v>
      </c>
      <c r="F65" s="7">
        <v>0</v>
      </c>
      <c r="G65" s="7">
        <v>215</v>
      </c>
      <c r="H65" s="7">
        <v>45</v>
      </c>
      <c r="I65" s="72">
        <v>0.4</v>
      </c>
      <c r="J65" s="72">
        <v>0.33</v>
      </c>
      <c r="K65" s="72">
        <v>0</v>
      </c>
      <c r="L65" s="72">
        <v>0.81</v>
      </c>
      <c r="M65" s="72">
        <v>0.18</v>
      </c>
    </row>
    <row r="66" spans="1:13" ht="15" thickBot="1" x14ac:dyDescent="0.4">
      <c r="A66" s="91" t="s">
        <v>254</v>
      </c>
      <c r="B66" s="7">
        <v>7655</v>
      </c>
      <c r="C66" s="72">
        <v>0.03</v>
      </c>
      <c r="D66" s="7">
        <v>2510</v>
      </c>
      <c r="E66" s="7">
        <v>2590</v>
      </c>
      <c r="F66" s="7">
        <v>1735</v>
      </c>
      <c r="G66" s="7">
        <v>3990</v>
      </c>
      <c r="H66" s="7">
        <v>820</v>
      </c>
      <c r="I66" s="72">
        <v>0.33</v>
      </c>
      <c r="J66" s="72">
        <v>0.34</v>
      </c>
      <c r="K66" s="72">
        <v>0.23</v>
      </c>
      <c r="L66" s="72">
        <v>0.52</v>
      </c>
      <c r="M66" s="72">
        <v>0.11</v>
      </c>
    </row>
    <row r="67" spans="1:13" ht="15" thickBot="1" x14ac:dyDescent="0.4">
      <c r="A67" s="91" t="s">
        <v>144</v>
      </c>
      <c r="B67" s="7">
        <v>1315</v>
      </c>
      <c r="C67" s="72">
        <v>7.0000000000000007E-2</v>
      </c>
      <c r="D67" s="7">
        <v>1265</v>
      </c>
      <c r="E67" s="7">
        <v>0</v>
      </c>
      <c r="F67" s="7">
        <v>0</v>
      </c>
      <c r="G67" s="7">
        <v>0</v>
      </c>
      <c r="H67" s="7">
        <v>45</v>
      </c>
      <c r="I67" s="72">
        <v>0.96</v>
      </c>
      <c r="J67" s="72">
        <v>0</v>
      </c>
      <c r="K67" s="72">
        <v>0</v>
      </c>
      <c r="L67" s="72">
        <v>0</v>
      </c>
      <c r="M67" s="72">
        <v>0.04</v>
      </c>
    </row>
    <row r="68" spans="1:13" ht="15" thickBot="1" x14ac:dyDescent="0.4">
      <c r="A68" s="91" t="s">
        <v>145</v>
      </c>
      <c r="B68" s="7">
        <v>9465</v>
      </c>
      <c r="C68" s="72">
        <v>7.0000000000000007E-2</v>
      </c>
      <c r="D68" s="7">
        <v>2520</v>
      </c>
      <c r="E68" s="7">
        <v>3850</v>
      </c>
      <c r="F68" s="7">
        <v>1980</v>
      </c>
      <c r="G68" s="7">
        <v>4090</v>
      </c>
      <c r="H68" s="7">
        <v>1075</v>
      </c>
      <c r="I68" s="72">
        <v>0.27</v>
      </c>
      <c r="J68" s="72">
        <v>0.41</v>
      </c>
      <c r="K68" s="72">
        <v>0.21</v>
      </c>
      <c r="L68" s="72">
        <v>0.43</v>
      </c>
      <c r="M68" s="72">
        <v>0.11</v>
      </c>
    </row>
    <row r="69" spans="1:13" ht="15" thickBot="1" x14ac:dyDescent="0.4">
      <c r="A69" s="91" t="s">
        <v>146</v>
      </c>
      <c r="B69" s="7">
        <v>8485</v>
      </c>
      <c r="C69" s="72">
        <v>7.0000000000000007E-2</v>
      </c>
      <c r="D69" s="7">
        <v>2520</v>
      </c>
      <c r="E69" s="7">
        <v>2810</v>
      </c>
      <c r="F69" s="7">
        <v>2490</v>
      </c>
      <c r="G69" s="7">
        <v>5535</v>
      </c>
      <c r="H69" s="7">
        <v>895</v>
      </c>
      <c r="I69" s="72">
        <v>0.3</v>
      </c>
      <c r="J69" s="72">
        <v>0.33</v>
      </c>
      <c r="K69" s="72">
        <v>0.28999999999999998</v>
      </c>
      <c r="L69" s="72">
        <v>0.65</v>
      </c>
      <c r="M69" s="72">
        <v>0.11</v>
      </c>
    </row>
    <row r="70" spans="1:13" ht="15" thickBot="1" x14ac:dyDescent="0.4">
      <c r="A70" s="91" t="s">
        <v>147</v>
      </c>
      <c r="B70" s="7">
        <v>785</v>
      </c>
      <c r="C70" s="72">
        <v>0.08</v>
      </c>
      <c r="D70" s="7">
        <v>365</v>
      </c>
      <c r="E70" s="7">
        <v>330</v>
      </c>
      <c r="F70" s="7">
        <v>0</v>
      </c>
      <c r="G70" s="7">
        <v>665</v>
      </c>
      <c r="H70" s="7">
        <v>90</v>
      </c>
      <c r="I70" s="72">
        <v>0.46</v>
      </c>
      <c r="J70" s="72">
        <v>0.42</v>
      </c>
      <c r="K70" s="72">
        <v>0</v>
      </c>
      <c r="L70" s="72">
        <v>0.84</v>
      </c>
      <c r="M70" s="72">
        <v>0.12</v>
      </c>
    </row>
    <row r="71" spans="1:13" ht="15" thickBot="1" x14ac:dyDescent="0.4">
      <c r="A71" s="91" t="s">
        <v>255</v>
      </c>
      <c r="B71" s="7">
        <v>20045</v>
      </c>
      <c r="C71" s="72">
        <v>7.0000000000000007E-2</v>
      </c>
      <c r="D71" s="7">
        <v>6665</v>
      </c>
      <c r="E71" s="7">
        <v>6990</v>
      </c>
      <c r="F71" s="7">
        <v>4470</v>
      </c>
      <c r="G71" s="7">
        <v>10290</v>
      </c>
      <c r="H71" s="7">
        <v>2110</v>
      </c>
      <c r="I71" s="72">
        <v>0.33</v>
      </c>
      <c r="J71" s="72">
        <v>0.35</v>
      </c>
      <c r="K71" s="72">
        <v>0.22</v>
      </c>
      <c r="L71" s="72">
        <v>0.51</v>
      </c>
      <c r="M71" s="72">
        <v>0.11</v>
      </c>
    </row>
    <row r="72" spans="1:13" ht="15" thickBot="1" x14ac:dyDescent="0.4">
      <c r="A72" s="91" t="s">
        <v>148</v>
      </c>
      <c r="B72" s="7">
        <v>2700</v>
      </c>
      <c r="C72" s="72">
        <v>0.14000000000000001</v>
      </c>
      <c r="D72" s="7">
        <v>2585</v>
      </c>
      <c r="E72" s="7">
        <v>0</v>
      </c>
      <c r="F72" s="7">
        <v>0</v>
      </c>
      <c r="G72" s="7">
        <v>0</v>
      </c>
      <c r="H72" s="7">
        <v>115</v>
      </c>
      <c r="I72" s="72">
        <v>0.96</v>
      </c>
      <c r="J72" s="72">
        <v>0</v>
      </c>
      <c r="K72" s="72">
        <v>0</v>
      </c>
      <c r="L72" s="72">
        <v>0</v>
      </c>
      <c r="M72" s="72">
        <v>0.04</v>
      </c>
    </row>
    <row r="73" spans="1:13" ht="15" thickBot="1" x14ac:dyDescent="0.4">
      <c r="A73" s="91" t="s">
        <v>149</v>
      </c>
      <c r="B73" s="7">
        <v>21750</v>
      </c>
      <c r="C73" s="72">
        <v>0.17</v>
      </c>
      <c r="D73" s="7">
        <v>5450</v>
      </c>
      <c r="E73" s="7">
        <v>8220</v>
      </c>
      <c r="F73" s="7">
        <v>4720</v>
      </c>
      <c r="G73" s="7">
        <v>8990</v>
      </c>
      <c r="H73" s="7">
        <v>3235</v>
      </c>
      <c r="I73" s="72">
        <v>0.25</v>
      </c>
      <c r="J73" s="72">
        <v>0.38</v>
      </c>
      <c r="K73" s="72">
        <v>0.22</v>
      </c>
      <c r="L73" s="72">
        <v>0.41</v>
      </c>
      <c r="M73" s="72">
        <v>0.15</v>
      </c>
    </row>
    <row r="74" spans="1:13" ht="15" thickBot="1" x14ac:dyDescent="0.4">
      <c r="A74" s="91" t="s">
        <v>150</v>
      </c>
      <c r="B74" s="7">
        <v>19760</v>
      </c>
      <c r="C74" s="72">
        <v>0.17</v>
      </c>
      <c r="D74" s="7">
        <v>5545</v>
      </c>
      <c r="E74" s="7">
        <v>6200</v>
      </c>
      <c r="F74" s="7">
        <v>5340</v>
      </c>
      <c r="G74" s="7">
        <v>12600</v>
      </c>
      <c r="H74" s="7">
        <v>2765</v>
      </c>
      <c r="I74" s="72">
        <v>0.28000000000000003</v>
      </c>
      <c r="J74" s="72">
        <v>0.31</v>
      </c>
      <c r="K74" s="72">
        <v>0.27</v>
      </c>
      <c r="L74" s="72">
        <v>0.64</v>
      </c>
      <c r="M74" s="72">
        <v>0.14000000000000001</v>
      </c>
    </row>
    <row r="75" spans="1:13" ht="15" thickBot="1" x14ac:dyDescent="0.4">
      <c r="A75" s="91" t="s">
        <v>151</v>
      </c>
      <c r="B75" s="7">
        <v>1755</v>
      </c>
      <c r="C75" s="72">
        <v>0.17</v>
      </c>
      <c r="D75" s="7">
        <v>785</v>
      </c>
      <c r="E75" s="7">
        <v>575</v>
      </c>
      <c r="F75" s="7">
        <v>0</v>
      </c>
      <c r="G75" s="7">
        <v>1370</v>
      </c>
      <c r="H75" s="7">
        <v>330</v>
      </c>
      <c r="I75" s="72">
        <v>0.45</v>
      </c>
      <c r="J75" s="72">
        <v>0.33</v>
      </c>
      <c r="K75" s="72">
        <v>0</v>
      </c>
      <c r="L75" s="72">
        <v>0.78</v>
      </c>
      <c r="M75" s="72">
        <v>0.19</v>
      </c>
    </row>
    <row r="76" spans="1:13" ht="15" thickBot="1" x14ac:dyDescent="0.4">
      <c r="A76" s="91" t="s">
        <v>256</v>
      </c>
      <c r="B76" s="7">
        <v>45965</v>
      </c>
      <c r="C76" s="72">
        <v>0.17</v>
      </c>
      <c r="D76" s="7">
        <v>14365</v>
      </c>
      <c r="E76" s="7">
        <v>14990</v>
      </c>
      <c r="F76" s="7">
        <v>10065</v>
      </c>
      <c r="G76" s="7">
        <v>22960</v>
      </c>
      <c r="H76" s="7">
        <v>6440</v>
      </c>
      <c r="I76" s="72">
        <v>0.31</v>
      </c>
      <c r="J76" s="72">
        <v>0.33</v>
      </c>
      <c r="K76" s="72">
        <v>0.22</v>
      </c>
      <c r="L76" s="72">
        <v>0.5</v>
      </c>
      <c r="M76" s="72">
        <v>0.14000000000000001</v>
      </c>
    </row>
    <row r="77" spans="1:13" ht="15" thickBot="1" x14ac:dyDescent="0.4">
      <c r="A77" s="91" t="s">
        <v>152</v>
      </c>
      <c r="B77" s="7">
        <v>620</v>
      </c>
      <c r="C77" s="72">
        <v>0.03</v>
      </c>
      <c r="D77" s="7">
        <v>600</v>
      </c>
      <c r="E77" s="7">
        <v>0</v>
      </c>
      <c r="F77" s="7">
        <v>0</v>
      </c>
      <c r="G77" s="7">
        <v>0</v>
      </c>
      <c r="H77" s="7">
        <v>20</v>
      </c>
      <c r="I77" s="72">
        <v>0.97</v>
      </c>
      <c r="J77" s="72">
        <v>0</v>
      </c>
      <c r="K77" s="72">
        <v>0</v>
      </c>
      <c r="L77" s="72">
        <v>0</v>
      </c>
      <c r="M77" s="72">
        <v>0.03</v>
      </c>
    </row>
    <row r="78" spans="1:13" ht="15" thickBot="1" x14ac:dyDescent="0.4">
      <c r="A78" s="91" t="s">
        <v>153</v>
      </c>
      <c r="B78" s="7">
        <v>3815</v>
      </c>
      <c r="C78" s="72">
        <v>0.03</v>
      </c>
      <c r="D78" s="7">
        <v>1105</v>
      </c>
      <c r="E78" s="7">
        <v>1515</v>
      </c>
      <c r="F78" s="7">
        <v>860</v>
      </c>
      <c r="G78" s="7">
        <v>1585</v>
      </c>
      <c r="H78" s="7">
        <v>400</v>
      </c>
      <c r="I78" s="72">
        <v>0.28999999999999998</v>
      </c>
      <c r="J78" s="72">
        <v>0.4</v>
      </c>
      <c r="K78" s="72">
        <v>0.23</v>
      </c>
      <c r="L78" s="72">
        <v>0.42</v>
      </c>
      <c r="M78" s="72">
        <v>0.1</v>
      </c>
    </row>
    <row r="79" spans="1:13" ht="15" thickBot="1" x14ac:dyDescent="0.4">
      <c r="A79" s="91" t="s">
        <v>154</v>
      </c>
      <c r="B79" s="7">
        <v>4190</v>
      </c>
      <c r="C79" s="72">
        <v>0.04</v>
      </c>
      <c r="D79" s="7">
        <v>1215</v>
      </c>
      <c r="E79" s="7">
        <v>1435</v>
      </c>
      <c r="F79" s="7">
        <v>1210</v>
      </c>
      <c r="G79" s="7">
        <v>2725</v>
      </c>
      <c r="H79" s="7">
        <v>485</v>
      </c>
      <c r="I79" s="72">
        <v>0.28999999999999998</v>
      </c>
      <c r="J79" s="72">
        <v>0.34</v>
      </c>
      <c r="K79" s="72">
        <v>0.28999999999999998</v>
      </c>
      <c r="L79" s="72">
        <v>0.65</v>
      </c>
      <c r="M79" s="72">
        <v>0.12</v>
      </c>
    </row>
    <row r="80" spans="1:13" ht="15" thickBot="1" x14ac:dyDescent="0.4">
      <c r="A80" s="91" t="s">
        <v>155</v>
      </c>
      <c r="B80" s="7">
        <v>340</v>
      </c>
      <c r="C80" s="72">
        <v>0.03</v>
      </c>
      <c r="D80" s="7">
        <v>145</v>
      </c>
      <c r="E80" s="7">
        <v>130</v>
      </c>
      <c r="F80" s="7">
        <v>0</v>
      </c>
      <c r="G80" s="7">
        <v>260</v>
      </c>
      <c r="H80" s="7">
        <v>70</v>
      </c>
      <c r="I80" s="72">
        <v>0.42</v>
      </c>
      <c r="J80" s="72">
        <v>0.38</v>
      </c>
      <c r="K80" s="72">
        <v>0</v>
      </c>
      <c r="L80" s="72">
        <v>0.77</v>
      </c>
      <c r="M80" s="72">
        <v>0.2</v>
      </c>
    </row>
    <row r="81" spans="1:13" ht="15" thickBot="1" x14ac:dyDescent="0.4">
      <c r="A81" s="91" t="s">
        <v>257</v>
      </c>
      <c r="B81" s="7">
        <v>8960</v>
      </c>
      <c r="C81" s="72">
        <v>0.03</v>
      </c>
      <c r="D81" s="7">
        <v>3065</v>
      </c>
      <c r="E81" s="7">
        <v>3075</v>
      </c>
      <c r="F81" s="7">
        <v>2070</v>
      </c>
      <c r="G81" s="7">
        <v>4565</v>
      </c>
      <c r="H81" s="7">
        <v>970</v>
      </c>
      <c r="I81" s="72">
        <v>0.34</v>
      </c>
      <c r="J81" s="72">
        <v>0.34</v>
      </c>
      <c r="K81" s="72">
        <v>0.23</v>
      </c>
      <c r="L81" s="72">
        <v>0.51</v>
      </c>
      <c r="M81" s="72">
        <v>0.11</v>
      </c>
    </row>
    <row r="82" spans="1:13" ht="15" thickBot="1" x14ac:dyDescent="0.4">
      <c r="A82" s="91" t="s">
        <v>156</v>
      </c>
      <c r="B82" s="7">
        <v>330</v>
      </c>
      <c r="C82" s="72">
        <v>0.02</v>
      </c>
      <c r="D82" s="7">
        <v>325</v>
      </c>
      <c r="E82" s="7">
        <v>0</v>
      </c>
      <c r="F82" s="7">
        <v>0</v>
      </c>
      <c r="G82" s="7">
        <v>0</v>
      </c>
      <c r="H82" s="7">
        <v>10</v>
      </c>
      <c r="I82" s="72">
        <v>0.97</v>
      </c>
      <c r="J82" s="72">
        <v>0</v>
      </c>
      <c r="K82" s="72">
        <v>0</v>
      </c>
      <c r="L82" s="72">
        <v>0</v>
      </c>
      <c r="M82" s="72">
        <v>0.03</v>
      </c>
    </row>
    <row r="83" spans="1:13" ht="15" thickBot="1" x14ac:dyDescent="0.4">
      <c r="A83" s="91" t="s">
        <v>157</v>
      </c>
      <c r="B83" s="7">
        <v>2290</v>
      </c>
      <c r="C83" s="72">
        <v>0.02</v>
      </c>
      <c r="D83" s="7">
        <v>515</v>
      </c>
      <c r="E83" s="7">
        <v>860</v>
      </c>
      <c r="F83" s="7">
        <v>475</v>
      </c>
      <c r="G83" s="7">
        <v>945</v>
      </c>
      <c r="H83" s="7">
        <v>350</v>
      </c>
      <c r="I83" s="72">
        <v>0.23</v>
      </c>
      <c r="J83" s="72">
        <v>0.38</v>
      </c>
      <c r="K83" s="72">
        <v>0.21</v>
      </c>
      <c r="L83" s="72">
        <v>0.41</v>
      </c>
      <c r="M83" s="72">
        <v>0.15</v>
      </c>
    </row>
    <row r="84" spans="1:13" ht="15" thickBot="1" x14ac:dyDescent="0.4">
      <c r="A84" s="91" t="s">
        <v>158</v>
      </c>
      <c r="B84" s="7">
        <v>1835</v>
      </c>
      <c r="C84" s="72">
        <v>0.02</v>
      </c>
      <c r="D84" s="7">
        <v>520</v>
      </c>
      <c r="E84" s="7">
        <v>570</v>
      </c>
      <c r="F84" s="7">
        <v>455</v>
      </c>
      <c r="G84" s="7">
        <v>1165</v>
      </c>
      <c r="H84" s="7">
        <v>275</v>
      </c>
      <c r="I84" s="72">
        <v>0.28000000000000003</v>
      </c>
      <c r="J84" s="72">
        <v>0.31</v>
      </c>
      <c r="K84" s="72">
        <v>0.25</v>
      </c>
      <c r="L84" s="72">
        <v>0.63</v>
      </c>
      <c r="M84" s="72">
        <v>0.15</v>
      </c>
    </row>
    <row r="85" spans="1:13" ht="15" thickBot="1" x14ac:dyDescent="0.4">
      <c r="A85" s="91" t="s">
        <v>159</v>
      </c>
      <c r="B85" s="7">
        <v>160</v>
      </c>
      <c r="C85" s="72">
        <v>0.02</v>
      </c>
      <c r="D85" s="7">
        <v>75</v>
      </c>
      <c r="E85" s="7">
        <v>50</v>
      </c>
      <c r="F85" s="7">
        <v>0</v>
      </c>
      <c r="G85" s="7">
        <v>130</v>
      </c>
      <c r="H85" s="7">
        <v>30</v>
      </c>
      <c r="I85" s="72">
        <v>0.46</v>
      </c>
      <c r="J85" s="72">
        <v>0.32</v>
      </c>
      <c r="K85" s="72">
        <v>0</v>
      </c>
      <c r="L85" s="72">
        <v>0.81</v>
      </c>
      <c r="M85" s="72">
        <v>0.18</v>
      </c>
    </row>
    <row r="86" spans="1:13" ht="15" thickBot="1" x14ac:dyDescent="0.4">
      <c r="A86" s="91" t="s">
        <v>258</v>
      </c>
      <c r="B86" s="7">
        <v>4620</v>
      </c>
      <c r="C86" s="72">
        <v>0.02</v>
      </c>
      <c r="D86" s="7">
        <v>1435</v>
      </c>
      <c r="E86" s="7">
        <v>1480</v>
      </c>
      <c r="F86" s="7">
        <v>935</v>
      </c>
      <c r="G86" s="7">
        <v>2240</v>
      </c>
      <c r="H86" s="7">
        <v>665</v>
      </c>
      <c r="I86" s="72">
        <v>0.31</v>
      </c>
      <c r="J86" s="72">
        <v>0.32</v>
      </c>
      <c r="K86" s="72">
        <v>0.2</v>
      </c>
      <c r="L86" s="72">
        <v>0.48</v>
      </c>
      <c r="M86" s="72">
        <v>0.14000000000000001</v>
      </c>
    </row>
    <row r="87" spans="1:13" ht="15" thickBot="1" x14ac:dyDescent="0.4">
      <c r="A87" s="91" t="s">
        <v>160</v>
      </c>
      <c r="B87" s="7">
        <v>340</v>
      </c>
      <c r="C87" s="72">
        <v>0.02</v>
      </c>
      <c r="D87" s="7">
        <v>335</v>
      </c>
      <c r="E87" s="7">
        <v>0</v>
      </c>
      <c r="F87" s="7">
        <v>0</v>
      </c>
      <c r="G87" s="7">
        <v>0</v>
      </c>
      <c r="H87" s="7">
        <v>10</v>
      </c>
      <c r="I87" s="72">
        <v>0.97</v>
      </c>
      <c r="J87" s="72">
        <v>0</v>
      </c>
      <c r="K87" s="72">
        <v>0</v>
      </c>
      <c r="L87" s="72">
        <v>0</v>
      </c>
      <c r="M87" s="72">
        <v>0.03</v>
      </c>
    </row>
    <row r="88" spans="1:13" ht="15" thickBot="1" x14ac:dyDescent="0.4">
      <c r="A88" s="91" t="s">
        <v>161</v>
      </c>
      <c r="B88" s="7">
        <v>2230</v>
      </c>
      <c r="C88" s="72">
        <v>0.02</v>
      </c>
      <c r="D88" s="7">
        <v>570</v>
      </c>
      <c r="E88" s="7">
        <v>965</v>
      </c>
      <c r="F88" s="7">
        <v>500</v>
      </c>
      <c r="G88" s="7">
        <v>940</v>
      </c>
      <c r="H88" s="7">
        <v>270</v>
      </c>
      <c r="I88" s="72">
        <v>0.25</v>
      </c>
      <c r="J88" s="72">
        <v>0.43</v>
      </c>
      <c r="K88" s="72">
        <v>0.22</v>
      </c>
      <c r="L88" s="72">
        <v>0.42</v>
      </c>
      <c r="M88" s="72">
        <v>0.12</v>
      </c>
    </row>
    <row r="89" spans="1:13" ht="15" thickBot="1" x14ac:dyDescent="0.4">
      <c r="A89" s="91" t="s">
        <v>162</v>
      </c>
      <c r="B89" s="7">
        <v>2205</v>
      </c>
      <c r="C89" s="72">
        <v>0.02</v>
      </c>
      <c r="D89" s="7">
        <v>600</v>
      </c>
      <c r="E89" s="7">
        <v>730</v>
      </c>
      <c r="F89" s="7">
        <v>650</v>
      </c>
      <c r="G89" s="7">
        <v>1435</v>
      </c>
      <c r="H89" s="7">
        <v>275</v>
      </c>
      <c r="I89" s="72">
        <v>0.27</v>
      </c>
      <c r="J89" s="72">
        <v>0.33</v>
      </c>
      <c r="K89" s="72">
        <v>0.3</v>
      </c>
      <c r="L89" s="72">
        <v>0.65</v>
      </c>
      <c r="M89" s="72">
        <v>0.12</v>
      </c>
    </row>
    <row r="90" spans="1:13" ht="15" thickBot="1" x14ac:dyDescent="0.4">
      <c r="A90" s="91" t="s">
        <v>163</v>
      </c>
      <c r="B90" s="7">
        <v>205</v>
      </c>
      <c r="C90" s="72">
        <v>0.02</v>
      </c>
      <c r="D90" s="7">
        <v>85</v>
      </c>
      <c r="E90" s="7">
        <v>75</v>
      </c>
      <c r="F90" s="7">
        <v>0</v>
      </c>
      <c r="G90" s="7">
        <v>165</v>
      </c>
      <c r="H90" s="7">
        <v>35</v>
      </c>
      <c r="I90" s="72">
        <v>0.42</v>
      </c>
      <c r="J90" s="72">
        <v>0.36</v>
      </c>
      <c r="K90" s="72">
        <v>0</v>
      </c>
      <c r="L90" s="72">
        <v>0.8</v>
      </c>
      <c r="M90" s="72">
        <v>0.17</v>
      </c>
    </row>
    <row r="91" spans="1:13" ht="15" thickBot="1" x14ac:dyDescent="0.4">
      <c r="A91" s="91" t="s">
        <v>259</v>
      </c>
      <c r="B91" s="7">
        <v>4980</v>
      </c>
      <c r="C91" s="72">
        <v>0.02</v>
      </c>
      <c r="D91" s="7">
        <v>1585</v>
      </c>
      <c r="E91" s="7">
        <v>1770</v>
      </c>
      <c r="F91" s="7">
        <v>1150</v>
      </c>
      <c r="G91" s="7">
        <v>2540</v>
      </c>
      <c r="H91" s="7">
        <v>590</v>
      </c>
      <c r="I91" s="72">
        <v>0.32</v>
      </c>
      <c r="J91" s="72">
        <v>0.36</v>
      </c>
      <c r="K91" s="72">
        <v>0.23</v>
      </c>
      <c r="L91" s="72">
        <v>0.51</v>
      </c>
      <c r="M91" s="72">
        <v>0.12</v>
      </c>
    </row>
    <row r="92" spans="1:13" ht="15" thickBot="1" x14ac:dyDescent="0.4">
      <c r="A92" s="91" t="s">
        <v>164</v>
      </c>
      <c r="B92" s="7">
        <v>285</v>
      </c>
      <c r="C92" s="72">
        <v>0.01</v>
      </c>
      <c r="D92" s="7">
        <v>270</v>
      </c>
      <c r="E92" s="7">
        <v>0</v>
      </c>
      <c r="F92" s="7">
        <v>0</v>
      </c>
      <c r="G92" s="7">
        <v>0</v>
      </c>
      <c r="H92" s="7">
        <v>15</v>
      </c>
      <c r="I92" s="72">
        <v>0.95</v>
      </c>
      <c r="J92" s="72">
        <v>0</v>
      </c>
      <c r="K92" s="72">
        <v>0</v>
      </c>
      <c r="L92" s="72">
        <v>0</v>
      </c>
      <c r="M92" s="72">
        <v>0.05</v>
      </c>
    </row>
    <row r="93" spans="1:13" ht="15" thickBot="1" x14ac:dyDescent="0.4">
      <c r="A93" s="91" t="s">
        <v>165</v>
      </c>
      <c r="B93" s="7">
        <v>1610</v>
      </c>
      <c r="C93" s="72">
        <v>0.01</v>
      </c>
      <c r="D93" s="7">
        <v>445</v>
      </c>
      <c r="E93" s="7">
        <v>635</v>
      </c>
      <c r="F93" s="7">
        <v>355</v>
      </c>
      <c r="G93" s="7">
        <v>700</v>
      </c>
      <c r="H93" s="7">
        <v>200</v>
      </c>
      <c r="I93" s="72">
        <v>0.28000000000000003</v>
      </c>
      <c r="J93" s="72">
        <v>0.39</v>
      </c>
      <c r="K93" s="72">
        <v>0.22</v>
      </c>
      <c r="L93" s="72">
        <v>0.43</v>
      </c>
      <c r="M93" s="72">
        <v>0.12</v>
      </c>
    </row>
    <row r="94" spans="1:13" ht="15" thickBot="1" x14ac:dyDescent="0.4">
      <c r="A94" s="91" t="s">
        <v>166</v>
      </c>
      <c r="B94" s="7">
        <v>1690</v>
      </c>
      <c r="C94" s="72">
        <v>0.01</v>
      </c>
      <c r="D94" s="7">
        <v>485</v>
      </c>
      <c r="E94" s="7">
        <v>535</v>
      </c>
      <c r="F94" s="7">
        <v>530</v>
      </c>
      <c r="G94" s="7">
        <v>1125</v>
      </c>
      <c r="H94" s="7">
        <v>165</v>
      </c>
      <c r="I94" s="72">
        <v>0.28999999999999998</v>
      </c>
      <c r="J94" s="72">
        <v>0.32</v>
      </c>
      <c r="K94" s="72">
        <v>0.31</v>
      </c>
      <c r="L94" s="72">
        <v>0.67</v>
      </c>
      <c r="M94" s="72">
        <v>0.1</v>
      </c>
    </row>
    <row r="95" spans="1:13" ht="15" thickBot="1" x14ac:dyDescent="0.4">
      <c r="A95" s="91" t="s">
        <v>167</v>
      </c>
      <c r="B95" s="7">
        <v>150</v>
      </c>
      <c r="C95" s="72">
        <v>0.01</v>
      </c>
      <c r="D95" s="7">
        <v>65</v>
      </c>
      <c r="E95" s="7">
        <v>50</v>
      </c>
      <c r="F95" s="7">
        <v>0</v>
      </c>
      <c r="G95" s="7">
        <v>130</v>
      </c>
      <c r="H95" s="7">
        <v>20</v>
      </c>
      <c r="I95" s="72">
        <v>0.43</v>
      </c>
      <c r="J95" s="72">
        <v>0.33</v>
      </c>
      <c r="K95" s="72">
        <v>0</v>
      </c>
      <c r="L95" s="72">
        <v>0.85</v>
      </c>
      <c r="M95" s="72">
        <v>0.13</v>
      </c>
    </row>
    <row r="96" spans="1:13" ht="15" thickBot="1" x14ac:dyDescent="0.4">
      <c r="A96" s="91" t="s">
        <v>260</v>
      </c>
      <c r="B96" s="7">
        <v>3730</v>
      </c>
      <c r="C96" s="72">
        <v>0.01</v>
      </c>
      <c r="D96" s="7">
        <v>1270</v>
      </c>
      <c r="E96" s="7">
        <v>1220</v>
      </c>
      <c r="F96" s="7">
        <v>885</v>
      </c>
      <c r="G96" s="7">
        <v>1955</v>
      </c>
      <c r="H96" s="7">
        <v>400</v>
      </c>
      <c r="I96" s="72">
        <v>0.34</v>
      </c>
      <c r="J96" s="72">
        <v>0.33</v>
      </c>
      <c r="K96" s="72">
        <v>0.24</v>
      </c>
      <c r="L96" s="72">
        <v>0.52</v>
      </c>
      <c r="M96" s="72">
        <v>0.11</v>
      </c>
    </row>
    <row r="97" spans="1:13" ht="29.5" thickBot="1" x14ac:dyDescent="0.4">
      <c r="A97" s="91" t="s">
        <v>168</v>
      </c>
      <c r="B97" s="7">
        <v>60</v>
      </c>
      <c r="C97" s="72">
        <v>0</v>
      </c>
      <c r="D97" s="7">
        <v>60</v>
      </c>
      <c r="E97" s="7">
        <v>0</v>
      </c>
      <c r="F97" s="7">
        <v>0</v>
      </c>
      <c r="G97" s="7">
        <v>0</v>
      </c>
      <c r="H97" s="7">
        <v>0</v>
      </c>
      <c r="I97" s="72">
        <v>1</v>
      </c>
      <c r="J97" s="72">
        <v>0</v>
      </c>
      <c r="K97" s="72">
        <v>0</v>
      </c>
      <c r="L97" s="72">
        <v>0</v>
      </c>
      <c r="M97" s="7">
        <v>0</v>
      </c>
    </row>
    <row r="98" spans="1:13" ht="29.5" thickBot="1" x14ac:dyDescent="0.4">
      <c r="A98" s="91" t="s">
        <v>169</v>
      </c>
      <c r="B98" s="7">
        <v>345</v>
      </c>
      <c r="C98" s="72">
        <v>0</v>
      </c>
      <c r="D98" s="7">
        <v>110</v>
      </c>
      <c r="E98" s="7">
        <v>145</v>
      </c>
      <c r="F98" s="7">
        <v>75</v>
      </c>
      <c r="G98" s="7">
        <v>140</v>
      </c>
      <c r="H98" s="7">
        <v>40</v>
      </c>
      <c r="I98" s="72">
        <v>0.32</v>
      </c>
      <c r="J98" s="72">
        <v>0.42</v>
      </c>
      <c r="K98" s="72">
        <v>0.21</v>
      </c>
      <c r="L98" s="72">
        <v>0.4</v>
      </c>
      <c r="M98" s="72">
        <v>0.12</v>
      </c>
    </row>
    <row r="99" spans="1:13" ht="29.5" thickBot="1" x14ac:dyDescent="0.4">
      <c r="A99" s="91" t="s">
        <v>170</v>
      </c>
      <c r="B99" s="7">
        <v>370</v>
      </c>
      <c r="C99" s="72">
        <v>0</v>
      </c>
      <c r="D99" s="7">
        <v>110</v>
      </c>
      <c r="E99" s="7">
        <v>125</v>
      </c>
      <c r="F99" s="7">
        <v>105</v>
      </c>
      <c r="G99" s="7">
        <v>245</v>
      </c>
      <c r="H99" s="7">
        <v>45</v>
      </c>
      <c r="I99" s="72">
        <v>0.3</v>
      </c>
      <c r="J99" s="72">
        <v>0.34</v>
      </c>
      <c r="K99" s="72">
        <v>0.28000000000000003</v>
      </c>
      <c r="L99" s="72">
        <v>0.66</v>
      </c>
      <c r="M99" s="72">
        <v>0.12</v>
      </c>
    </row>
    <row r="100" spans="1:13" ht="29.5" thickBot="1" x14ac:dyDescent="0.4">
      <c r="A100" s="91" t="s">
        <v>171</v>
      </c>
      <c r="B100" s="7">
        <v>35</v>
      </c>
      <c r="C100" s="72">
        <v>0</v>
      </c>
      <c r="D100" s="7">
        <v>15</v>
      </c>
      <c r="E100" s="7">
        <v>15</v>
      </c>
      <c r="F100" s="7">
        <v>0</v>
      </c>
      <c r="G100" s="7">
        <v>35</v>
      </c>
      <c r="H100" s="7">
        <v>5</v>
      </c>
      <c r="I100" s="72">
        <v>0.46</v>
      </c>
      <c r="J100" s="72">
        <v>0.38</v>
      </c>
      <c r="K100" s="72">
        <v>0</v>
      </c>
      <c r="L100" s="72">
        <v>0.89</v>
      </c>
      <c r="M100" s="72">
        <v>0.08</v>
      </c>
    </row>
    <row r="101" spans="1:13" ht="15" thickBot="1" x14ac:dyDescent="0.4">
      <c r="A101" s="91" t="s">
        <v>261</v>
      </c>
      <c r="B101" s="7">
        <v>810</v>
      </c>
      <c r="C101" s="72">
        <v>0</v>
      </c>
      <c r="D101" s="7">
        <v>300</v>
      </c>
      <c r="E101" s="7">
        <v>285</v>
      </c>
      <c r="F101" s="7">
        <v>175</v>
      </c>
      <c r="G101" s="7">
        <v>420</v>
      </c>
      <c r="H101" s="7">
        <v>90</v>
      </c>
      <c r="I101" s="72">
        <v>0.37</v>
      </c>
      <c r="J101" s="72">
        <v>0.35</v>
      </c>
      <c r="K101" s="72">
        <v>0.22</v>
      </c>
      <c r="L101" s="72">
        <v>0.52</v>
      </c>
      <c r="M101" s="72">
        <v>0.11</v>
      </c>
    </row>
    <row r="102" spans="1:13" ht="15" thickBot="1" x14ac:dyDescent="0.4">
      <c r="A102" s="91" t="s">
        <v>172</v>
      </c>
      <c r="B102" s="7">
        <v>40</v>
      </c>
      <c r="C102" s="72">
        <v>0</v>
      </c>
      <c r="D102" s="7">
        <v>30</v>
      </c>
      <c r="E102" s="7">
        <v>0</v>
      </c>
      <c r="F102" s="7">
        <v>0</v>
      </c>
      <c r="G102" s="7">
        <v>0</v>
      </c>
      <c r="H102" s="7">
        <v>5</v>
      </c>
      <c r="I102" s="72">
        <v>0.82</v>
      </c>
      <c r="J102" s="72">
        <v>0</v>
      </c>
      <c r="K102" s="72">
        <v>0</v>
      </c>
      <c r="L102" s="72">
        <v>0</v>
      </c>
      <c r="M102" s="72">
        <v>0.18</v>
      </c>
    </row>
    <row r="103" spans="1:13" ht="15" thickBot="1" x14ac:dyDescent="0.4">
      <c r="A103" s="91" t="s">
        <v>173</v>
      </c>
      <c r="B103" s="7">
        <v>155</v>
      </c>
      <c r="C103" s="72">
        <v>0</v>
      </c>
      <c r="D103" s="7">
        <v>60</v>
      </c>
      <c r="E103" s="7">
        <v>50</v>
      </c>
      <c r="F103" s="7">
        <v>20</v>
      </c>
      <c r="G103" s="7">
        <v>65</v>
      </c>
      <c r="H103" s="7">
        <v>30</v>
      </c>
      <c r="I103" s="72">
        <v>0.38</v>
      </c>
      <c r="J103" s="72">
        <v>0.32</v>
      </c>
      <c r="K103" s="72">
        <v>0.14000000000000001</v>
      </c>
      <c r="L103" s="72">
        <v>0.42</v>
      </c>
      <c r="M103" s="72">
        <v>0.19</v>
      </c>
    </row>
    <row r="104" spans="1:13" ht="15" thickBot="1" x14ac:dyDescent="0.4">
      <c r="A104" s="91" t="s">
        <v>174</v>
      </c>
      <c r="B104" s="7">
        <v>205</v>
      </c>
      <c r="C104" s="72">
        <v>0</v>
      </c>
      <c r="D104" s="7">
        <v>60</v>
      </c>
      <c r="E104" s="7">
        <v>55</v>
      </c>
      <c r="F104" s="7">
        <v>35</v>
      </c>
      <c r="G104" s="7">
        <v>130</v>
      </c>
      <c r="H104" s="7">
        <v>40</v>
      </c>
      <c r="I104" s="72">
        <v>0.3</v>
      </c>
      <c r="J104" s="72">
        <v>0.28000000000000003</v>
      </c>
      <c r="K104" s="72">
        <v>0.17</v>
      </c>
      <c r="L104" s="72">
        <v>0.63</v>
      </c>
      <c r="M104" s="72">
        <v>0.2</v>
      </c>
    </row>
    <row r="105" spans="1:13" ht="15" thickBot="1" x14ac:dyDescent="0.4">
      <c r="A105" s="91" t="s">
        <v>175</v>
      </c>
      <c r="B105" s="7">
        <v>45</v>
      </c>
      <c r="C105" s="72">
        <v>0</v>
      </c>
      <c r="D105" s="7">
        <v>15</v>
      </c>
      <c r="E105" s="7">
        <v>10</v>
      </c>
      <c r="F105" s="7">
        <v>0</v>
      </c>
      <c r="G105" s="7">
        <v>30</v>
      </c>
      <c r="H105" s="7">
        <v>10</v>
      </c>
      <c r="I105" s="72">
        <v>0.37</v>
      </c>
      <c r="J105" s="72">
        <v>0.26</v>
      </c>
      <c r="K105" s="72">
        <v>0</v>
      </c>
      <c r="L105" s="72">
        <v>0.72</v>
      </c>
      <c r="M105" s="72">
        <v>0.23</v>
      </c>
    </row>
    <row r="106" spans="1:13" ht="15" thickBot="1" x14ac:dyDescent="0.4">
      <c r="A106" s="91" t="s">
        <v>262</v>
      </c>
      <c r="B106" s="7">
        <v>440</v>
      </c>
      <c r="C106" s="72">
        <v>0</v>
      </c>
      <c r="D106" s="7">
        <v>165</v>
      </c>
      <c r="E106" s="7">
        <v>115</v>
      </c>
      <c r="F106" s="7">
        <v>55</v>
      </c>
      <c r="G106" s="7">
        <v>225</v>
      </c>
      <c r="H106" s="7">
        <v>90</v>
      </c>
      <c r="I106" s="72">
        <v>0.38</v>
      </c>
      <c r="J106" s="72">
        <v>0.26</v>
      </c>
      <c r="K106" s="72">
        <v>0.13</v>
      </c>
      <c r="L106" s="72">
        <v>0.51</v>
      </c>
      <c r="M106" s="72">
        <v>0.2</v>
      </c>
    </row>
    <row r="107" spans="1:13" ht="29.5" thickBot="1" x14ac:dyDescent="0.4">
      <c r="A107" s="91" t="s">
        <v>237</v>
      </c>
      <c r="B107" s="7">
        <v>1895</v>
      </c>
      <c r="C107" s="72">
        <v>0.1</v>
      </c>
      <c r="D107" s="7">
        <v>1845</v>
      </c>
      <c r="E107" s="7">
        <v>0</v>
      </c>
      <c r="F107" s="7">
        <v>0</v>
      </c>
      <c r="G107" s="7">
        <v>0</v>
      </c>
      <c r="H107" s="7">
        <v>50</v>
      </c>
      <c r="I107" s="72">
        <v>0.97</v>
      </c>
      <c r="J107" s="72">
        <v>0</v>
      </c>
      <c r="K107" s="72">
        <v>0</v>
      </c>
      <c r="L107" s="72">
        <v>0</v>
      </c>
      <c r="M107" s="72">
        <v>0.03</v>
      </c>
    </row>
    <row r="108" spans="1:13" ht="29.5" thickBot="1" x14ac:dyDescent="0.4">
      <c r="A108" s="91" t="s">
        <v>238</v>
      </c>
      <c r="B108" s="7">
        <v>6220</v>
      </c>
      <c r="C108" s="72">
        <v>0.05</v>
      </c>
      <c r="D108" s="7">
        <v>3735</v>
      </c>
      <c r="E108" s="7">
        <v>1490</v>
      </c>
      <c r="F108" s="7">
        <v>550</v>
      </c>
      <c r="G108" s="7">
        <v>3525</v>
      </c>
      <c r="H108" s="7">
        <v>525</v>
      </c>
      <c r="I108" s="72">
        <v>0.6</v>
      </c>
      <c r="J108" s="72">
        <v>0.24</v>
      </c>
      <c r="K108" s="72">
        <v>0.09</v>
      </c>
      <c r="L108" s="72">
        <v>0.56999999999999995</v>
      </c>
      <c r="M108" s="72">
        <v>0.08</v>
      </c>
    </row>
    <row r="109" spans="1:13" ht="29.5" thickBot="1" x14ac:dyDescent="0.4">
      <c r="A109" s="91" t="s">
        <v>239</v>
      </c>
      <c r="B109" s="7">
        <v>1875</v>
      </c>
      <c r="C109" s="72">
        <v>0.02</v>
      </c>
      <c r="D109" s="7">
        <v>1110</v>
      </c>
      <c r="E109" s="7">
        <v>430</v>
      </c>
      <c r="F109" s="7">
        <v>120</v>
      </c>
      <c r="G109" s="7">
        <v>1605</v>
      </c>
      <c r="H109" s="7">
        <v>155</v>
      </c>
      <c r="I109" s="72">
        <v>0.59</v>
      </c>
      <c r="J109" s="72">
        <v>0.23</v>
      </c>
      <c r="K109" s="72">
        <v>7.0000000000000007E-2</v>
      </c>
      <c r="L109" s="72">
        <v>0.86</v>
      </c>
      <c r="M109" s="72">
        <v>0.08</v>
      </c>
    </row>
    <row r="110" spans="1:13" ht="29.5" thickBot="1" x14ac:dyDescent="0.4">
      <c r="A110" s="91" t="s">
        <v>240</v>
      </c>
      <c r="B110" s="7">
        <v>30</v>
      </c>
      <c r="C110" s="72">
        <v>0</v>
      </c>
      <c r="D110" s="7">
        <v>15</v>
      </c>
      <c r="E110" s="7">
        <v>5</v>
      </c>
      <c r="F110" s="7">
        <v>0</v>
      </c>
      <c r="G110" s="7">
        <v>25</v>
      </c>
      <c r="H110" s="7">
        <v>5</v>
      </c>
      <c r="I110" s="72">
        <v>0.53</v>
      </c>
      <c r="J110" s="72">
        <v>0.2</v>
      </c>
      <c r="K110" s="72">
        <v>0</v>
      </c>
      <c r="L110" s="72">
        <v>0.83</v>
      </c>
      <c r="M110" s="72">
        <v>0.17</v>
      </c>
    </row>
    <row r="111" spans="1:13" ht="29.5" thickBot="1" x14ac:dyDescent="0.4">
      <c r="A111" s="91" t="s">
        <v>276</v>
      </c>
      <c r="B111" s="7">
        <v>10025</v>
      </c>
      <c r="C111" s="72">
        <v>0.04</v>
      </c>
      <c r="D111" s="7">
        <v>6705</v>
      </c>
      <c r="E111" s="7">
        <v>1925</v>
      </c>
      <c r="F111" s="7">
        <v>670</v>
      </c>
      <c r="G111" s="7">
        <v>5155</v>
      </c>
      <c r="H111" s="7">
        <v>740</v>
      </c>
      <c r="I111" s="72">
        <v>0.67</v>
      </c>
      <c r="J111" s="72">
        <v>0.19</v>
      </c>
      <c r="K111" s="72">
        <v>7.0000000000000007E-2</v>
      </c>
      <c r="L111" s="72">
        <v>0.51</v>
      </c>
      <c r="M111" s="72">
        <v>7.0000000000000007E-2</v>
      </c>
    </row>
    <row r="112" spans="1:13" ht="15" thickBot="1" x14ac:dyDescent="0.4">
      <c r="A112" s="91" t="s">
        <v>176</v>
      </c>
      <c r="B112" s="7">
        <v>510</v>
      </c>
      <c r="C112" s="72">
        <v>0.03</v>
      </c>
      <c r="D112" s="7">
        <v>490</v>
      </c>
      <c r="E112" s="7">
        <v>0</v>
      </c>
      <c r="F112" s="7">
        <v>0</v>
      </c>
      <c r="G112" s="7">
        <v>0</v>
      </c>
      <c r="H112" s="7">
        <v>20</v>
      </c>
      <c r="I112" s="72">
        <v>0.96</v>
      </c>
      <c r="J112" s="72">
        <v>0</v>
      </c>
      <c r="K112" s="72">
        <v>0</v>
      </c>
      <c r="L112" s="72">
        <v>0</v>
      </c>
      <c r="M112" s="72">
        <v>0.04</v>
      </c>
    </row>
    <row r="113" spans="1:13" ht="15" thickBot="1" x14ac:dyDescent="0.4">
      <c r="A113" s="91" t="s">
        <v>177</v>
      </c>
      <c r="B113" s="7">
        <v>4465</v>
      </c>
      <c r="C113" s="72">
        <v>0.03</v>
      </c>
      <c r="D113" s="7">
        <v>1135</v>
      </c>
      <c r="E113" s="7">
        <v>1780</v>
      </c>
      <c r="F113" s="7">
        <v>910</v>
      </c>
      <c r="G113" s="7">
        <v>1875</v>
      </c>
      <c r="H113" s="7">
        <v>600</v>
      </c>
      <c r="I113" s="72">
        <v>0.25</v>
      </c>
      <c r="J113" s="72">
        <v>0.4</v>
      </c>
      <c r="K113" s="72">
        <v>0.2</v>
      </c>
      <c r="L113" s="72">
        <v>0.42</v>
      </c>
      <c r="M113" s="72">
        <v>0.13</v>
      </c>
    </row>
    <row r="114" spans="1:13" ht="15" thickBot="1" x14ac:dyDescent="0.4">
      <c r="A114" s="91" t="s">
        <v>178</v>
      </c>
      <c r="B114" s="7">
        <v>3725</v>
      </c>
      <c r="C114" s="72">
        <v>0.03</v>
      </c>
      <c r="D114" s="7">
        <v>1070</v>
      </c>
      <c r="E114" s="7">
        <v>1200</v>
      </c>
      <c r="F114" s="7">
        <v>1035</v>
      </c>
      <c r="G114" s="7">
        <v>2380</v>
      </c>
      <c r="H114" s="7">
        <v>460</v>
      </c>
      <c r="I114" s="72">
        <v>0.28999999999999998</v>
      </c>
      <c r="J114" s="72">
        <v>0.32</v>
      </c>
      <c r="K114" s="72">
        <v>0.28000000000000003</v>
      </c>
      <c r="L114" s="72">
        <v>0.64</v>
      </c>
      <c r="M114" s="72">
        <v>0.12</v>
      </c>
    </row>
    <row r="115" spans="1:13" ht="15" thickBot="1" x14ac:dyDescent="0.4">
      <c r="A115" s="91" t="s">
        <v>179</v>
      </c>
      <c r="B115" s="7">
        <v>300</v>
      </c>
      <c r="C115" s="72">
        <v>0.03</v>
      </c>
      <c r="D115" s="7">
        <v>170</v>
      </c>
      <c r="E115" s="7">
        <v>100</v>
      </c>
      <c r="F115" s="7">
        <v>0</v>
      </c>
      <c r="G115" s="7">
        <v>255</v>
      </c>
      <c r="H115" s="7">
        <v>30</v>
      </c>
      <c r="I115" s="72">
        <v>0.56000000000000005</v>
      </c>
      <c r="J115" s="72">
        <v>0.34</v>
      </c>
      <c r="K115" s="72">
        <v>0</v>
      </c>
      <c r="L115" s="72">
        <v>0.85</v>
      </c>
      <c r="M115" s="72">
        <v>0.11</v>
      </c>
    </row>
    <row r="116" spans="1:13" ht="15" thickBot="1" x14ac:dyDescent="0.4">
      <c r="A116" s="91" t="s">
        <v>263</v>
      </c>
      <c r="B116" s="7">
        <v>9005</v>
      </c>
      <c r="C116" s="72">
        <v>0.03</v>
      </c>
      <c r="D116" s="7">
        <v>2860</v>
      </c>
      <c r="E116" s="7">
        <v>3080</v>
      </c>
      <c r="F116" s="7">
        <v>1945</v>
      </c>
      <c r="G116" s="7">
        <v>4510</v>
      </c>
      <c r="H116" s="7">
        <v>1110</v>
      </c>
      <c r="I116" s="72">
        <v>0.32</v>
      </c>
      <c r="J116" s="72">
        <v>0.34</v>
      </c>
      <c r="K116" s="72">
        <v>0.22</v>
      </c>
      <c r="L116" s="72">
        <v>0.5</v>
      </c>
      <c r="M116" s="72">
        <v>0.12</v>
      </c>
    </row>
    <row r="117" spans="1:13" ht="29.5" thickBot="1" x14ac:dyDescent="0.4">
      <c r="A117" s="91" t="s">
        <v>180</v>
      </c>
      <c r="B117" s="7">
        <v>1450</v>
      </c>
      <c r="C117" s="72">
        <v>7.0000000000000007E-2</v>
      </c>
      <c r="D117" s="7">
        <v>1400</v>
      </c>
      <c r="E117" s="7">
        <v>0</v>
      </c>
      <c r="F117" s="7">
        <v>0</v>
      </c>
      <c r="G117" s="7">
        <v>0</v>
      </c>
      <c r="H117" s="7">
        <v>45</v>
      </c>
      <c r="I117" s="72">
        <v>0.97</v>
      </c>
      <c r="J117" s="72">
        <v>0</v>
      </c>
      <c r="K117" s="72">
        <v>0</v>
      </c>
      <c r="L117" s="72">
        <v>0</v>
      </c>
      <c r="M117" s="72">
        <v>0.03</v>
      </c>
    </row>
    <row r="118" spans="1:13" ht="29.5" thickBot="1" x14ac:dyDescent="0.4">
      <c r="A118" s="91" t="s">
        <v>181</v>
      </c>
      <c r="B118" s="7">
        <v>9885</v>
      </c>
      <c r="C118" s="72">
        <v>0.08</v>
      </c>
      <c r="D118" s="7">
        <v>2540</v>
      </c>
      <c r="E118" s="7">
        <v>3755</v>
      </c>
      <c r="F118" s="7">
        <v>2125</v>
      </c>
      <c r="G118" s="7">
        <v>4105</v>
      </c>
      <c r="H118" s="7">
        <v>1380</v>
      </c>
      <c r="I118" s="72">
        <v>0.26</v>
      </c>
      <c r="J118" s="72">
        <v>0.38</v>
      </c>
      <c r="K118" s="72">
        <v>0.22</v>
      </c>
      <c r="L118" s="72">
        <v>0.42</v>
      </c>
      <c r="M118" s="72">
        <v>0.14000000000000001</v>
      </c>
    </row>
    <row r="119" spans="1:13" ht="29.5" thickBot="1" x14ac:dyDescent="0.4">
      <c r="A119" s="91" t="s">
        <v>182</v>
      </c>
      <c r="B119" s="7">
        <v>9395</v>
      </c>
      <c r="C119" s="72">
        <v>0.08</v>
      </c>
      <c r="D119" s="7">
        <v>2670</v>
      </c>
      <c r="E119" s="7">
        <v>3070</v>
      </c>
      <c r="F119" s="7">
        <v>2610</v>
      </c>
      <c r="G119" s="7">
        <v>6080</v>
      </c>
      <c r="H119" s="7">
        <v>1165</v>
      </c>
      <c r="I119" s="72">
        <v>0.28000000000000003</v>
      </c>
      <c r="J119" s="72">
        <v>0.33</v>
      </c>
      <c r="K119" s="72">
        <v>0.28000000000000003</v>
      </c>
      <c r="L119" s="72">
        <v>0.65</v>
      </c>
      <c r="M119" s="72">
        <v>0.12</v>
      </c>
    </row>
    <row r="120" spans="1:13" ht="29.5" thickBot="1" x14ac:dyDescent="0.4">
      <c r="A120" s="91" t="s">
        <v>183</v>
      </c>
      <c r="B120" s="7">
        <v>805</v>
      </c>
      <c r="C120" s="72">
        <v>0.08</v>
      </c>
      <c r="D120" s="7">
        <v>400</v>
      </c>
      <c r="E120" s="7">
        <v>285</v>
      </c>
      <c r="F120" s="7">
        <v>0</v>
      </c>
      <c r="G120" s="7">
        <v>655</v>
      </c>
      <c r="H120" s="7">
        <v>130</v>
      </c>
      <c r="I120" s="72">
        <v>0.49</v>
      </c>
      <c r="J120" s="72">
        <v>0.36</v>
      </c>
      <c r="K120" s="72">
        <v>0</v>
      </c>
      <c r="L120" s="72">
        <v>0.82</v>
      </c>
      <c r="M120" s="72">
        <v>0.16</v>
      </c>
    </row>
    <row r="121" spans="1:13" ht="15" thickBot="1" x14ac:dyDescent="0.4">
      <c r="A121" s="91" t="s">
        <v>264</v>
      </c>
      <c r="B121" s="7">
        <v>21535</v>
      </c>
      <c r="C121" s="72">
        <v>0.08</v>
      </c>
      <c r="D121" s="7">
        <v>7010</v>
      </c>
      <c r="E121" s="7">
        <v>7115</v>
      </c>
      <c r="F121" s="7">
        <v>4735</v>
      </c>
      <c r="G121" s="7">
        <v>10845</v>
      </c>
      <c r="H121" s="7">
        <v>2720</v>
      </c>
      <c r="I121" s="72">
        <v>0.33</v>
      </c>
      <c r="J121" s="72">
        <v>0.33</v>
      </c>
      <c r="K121" s="72">
        <v>0.22</v>
      </c>
      <c r="L121" s="72">
        <v>0.5</v>
      </c>
      <c r="M121" s="72">
        <v>0.13</v>
      </c>
    </row>
    <row r="122" spans="1:13" ht="15" thickBot="1" x14ac:dyDescent="0.4">
      <c r="A122" s="91" t="s">
        <v>184</v>
      </c>
      <c r="B122" s="7">
        <v>60</v>
      </c>
      <c r="C122" s="72">
        <v>0</v>
      </c>
      <c r="D122" s="7">
        <v>60</v>
      </c>
      <c r="E122" s="7">
        <v>0</v>
      </c>
      <c r="F122" s="7">
        <v>0</v>
      </c>
      <c r="G122" s="7">
        <v>0</v>
      </c>
      <c r="H122" s="7" t="s">
        <v>486</v>
      </c>
      <c r="I122" s="72" t="s">
        <v>486</v>
      </c>
      <c r="J122" s="72">
        <v>0</v>
      </c>
      <c r="K122" s="72">
        <v>0</v>
      </c>
      <c r="L122" s="72">
        <v>0</v>
      </c>
      <c r="M122" s="72" t="s">
        <v>486</v>
      </c>
    </row>
    <row r="123" spans="1:13" ht="15" thickBot="1" x14ac:dyDescent="0.4">
      <c r="A123" s="91" t="s">
        <v>185</v>
      </c>
      <c r="B123" s="7">
        <v>215</v>
      </c>
      <c r="C123" s="72">
        <v>0</v>
      </c>
      <c r="D123" s="7">
        <v>70</v>
      </c>
      <c r="E123" s="7">
        <v>90</v>
      </c>
      <c r="F123" s="7">
        <v>60</v>
      </c>
      <c r="G123" s="7">
        <v>100</v>
      </c>
      <c r="H123" s="7">
        <v>15</v>
      </c>
      <c r="I123" s="72">
        <v>0.33</v>
      </c>
      <c r="J123" s="72">
        <v>0.41</v>
      </c>
      <c r="K123" s="72">
        <v>0.27</v>
      </c>
      <c r="L123" s="72">
        <v>0.46</v>
      </c>
      <c r="M123" s="72">
        <v>7.0000000000000007E-2</v>
      </c>
    </row>
    <row r="124" spans="1:13" ht="15" thickBot="1" x14ac:dyDescent="0.4">
      <c r="A124" s="91" t="s">
        <v>186</v>
      </c>
      <c r="B124" s="7">
        <v>285</v>
      </c>
      <c r="C124" s="72">
        <v>0</v>
      </c>
      <c r="D124" s="7">
        <v>75</v>
      </c>
      <c r="E124" s="7">
        <v>95</v>
      </c>
      <c r="F124" s="7">
        <v>95</v>
      </c>
      <c r="G124" s="7">
        <v>185</v>
      </c>
      <c r="H124" s="7">
        <v>30</v>
      </c>
      <c r="I124" s="72">
        <v>0.26</v>
      </c>
      <c r="J124" s="72">
        <v>0.33</v>
      </c>
      <c r="K124" s="72">
        <v>0.33</v>
      </c>
      <c r="L124" s="72">
        <v>0.65</v>
      </c>
      <c r="M124" s="72">
        <v>0.1</v>
      </c>
    </row>
    <row r="125" spans="1:13" ht="15" thickBot="1" x14ac:dyDescent="0.4">
      <c r="A125" s="91" t="s">
        <v>187</v>
      </c>
      <c r="B125" s="7">
        <v>10</v>
      </c>
      <c r="C125" s="72">
        <v>0</v>
      </c>
      <c r="D125" s="7" t="s">
        <v>486</v>
      </c>
      <c r="E125" s="7">
        <v>5</v>
      </c>
      <c r="F125" s="7">
        <v>0</v>
      </c>
      <c r="G125" s="7">
        <v>5</v>
      </c>
      <c r="H125" s="7" t="s">
        <v>486</v>
      </c>
      <c r="I125" s="72" t="s">
        <v>486</v>
      </c>
      <c r="J125" s="72">
        <v>0.4</v>
      </c>
      <c r="K125" s="72">
        <v>0</v>
      </c>
      <c r="L125" s="72">
        <v>0.7</v>
      </c>
      <c r="M125" s="72" t="s">
        <v>486</v>
      </c>
    </row>
    <row r="126" spans="1:13" ht="15" thickBot="1" x14ac:dyDescent="0.4">
      <c r="A126" s="91" t="s">
        <v>265</v>
      </c>
      <c r="B126" s="7">
        <v>575</v>
      </c>
      <c r="C126" s="72">
        <v>0</v>
      </c>
      <c r="D126" s="7">
        <v>205</v>
      </c>
      <c r="E126" s="7">
        <v>190</v>
      </c>
      <c r="F126" s="7">
        <v>150</v>
      </c>
      <c r="G126" s="7">
        <v>295</v>
      </c>
      <c r="H126" s="7">
        <v>45</v>
      </c>
      <c r="I126" s="72">
        <v>0.36</v>
      </c>
      <c r="J126" s="72">
        <v>0.33</v>
      </c>
      <c r="K126" s="72">
        <v>0.27</v>
      </c>
      <c r="L126" s="72">
        <v>0.51</v>
      </c>
      <c r="M126" s="72">
        <v>0.08</v>
      </c>
    </row>
    <row r="127" spans="1:13" ht="15" thickBot="1" x14ac:dyDescent="0.4">
      <c r="A127" s="91" t="s">
        <v>188</v>
      </c>
      <c r="B127" s="7">
        <v>415</v>
      </c>
      <c r="C127" s="72">
        <v>0.02</v>
      </c>
      <c r="D127" s="7">
        <v>400</v>
      </c>
      <c r="E127" s="7">
        <v>0</v>
      </c>
      <c r="F127" s="7">
        <v>0</v>
      </c>
      <c r="G127" s="7">
        <v>0</v>
      </c>
      <c r="H127" s="7">
        <v>15</v>
      </c>
      <c r="I127" s="72">
        <v>0.97</v>
      </c>
      <c r="J127" s="72">
        <v>0</v>
      </c>
      <c r="K127" s="72">
        <v>0</v>
      </c>
      <c r="L127" s="72">
        <v>0</v>
      </c>
      <c r="M127" s="72">
        <v>0.03</v>
      </c>
    </row>
    <row r="128" spans="1:13" ht="15" thickBot="1" x14ac:dyDescent="0.4">
      <c r="A128" s="91" t="s">
        <v>189</v>
      </c>
      <c r="B128" s="7">
        <v>2225</v>
      </c>
      <c r="C128" s="72">
        <v>0.02</v>
      </c>
      <c r="D128" s="7">
        <v>670</v>
      </c>
      <c r="E128" s="7">
        <v>915</v>
      </c>
      <c r="F128" s="7">
        <v>485</v>
      </c>
      <c r="G128" s="7">
        <v>970</v>
      </c>
      <c r="H128" s="7">
        <v>230</v>
      </c>
      <c r="I128" s="72">
        <v>0.3</v>
      </c>
      <c r="J128" s="72">
        <v>0.41</v>
      </c>
      <c r="K128" s="72">
        <v>0.22</v>
      </c>
      <c r="L128" s="72">
        <v>0.44</v>
      </c>
      <c r="M128" s="72">
        <v>0.1</v>
      </c>
    </row>
    <row r="129" spans="1:13" ht="15" thickBot="1" x14ac:dyDescent="0.4">
      <c r="A129" s="91" t="s">
        <v>190</v>
      </c>
      <c r="B129" s="7">
        <v>2475</v>
      </c>
      <c r="C129" s="72">
        <v>0.02</v>
      </c>
      <c r="D129" s="7">
        <v>695</v>
      </c>
      <c r="E129" s="7">
        <v>850</v>
      </c>
      <c r="F129" s="7">
        <v>755</v>
      </c>
      <c r="G129" s="7">
        <v>1615</v>
      </c>
      <c r="H129" s="7">
        <v>260</v>
      </c>
      <c r="I129" s="72">
        <v>0.28000000000000003</v>
      </c>
      <c r="J129" s="72">
        <v>0.34</v>
      </c>
      <c r="K129" s="72">
        <v>0.31</v>
      </c>
      <c r="L129" s="72">
        <v>0.65</v>
      </c>
      <c r="M129" s="72">
        <v>0.11</v>
      </c>
    </row>
    <row r="130" spans="1:13" ht="15" thickBot="1" x14ac:dyDescent="0.4">
      <c r="A130" s="91" t="s">
        <v>191</v>
      </c>
      <c r="B130" s="7">
        <v>210</v>
      </c>
      <c r="C130" s="72">
        <v>0.02</v>
      </c>
      <c r="D130" s="7">
        <v>105</v>
      </c>
      <c r="E130" s="7">
        <v>70</v>
      </c>
      <c r="F130" s="7">
        <v>0</v>
      </c>
      <c r="G130" s="7">
        <v>170</v>
      </c>
      <c r="H130" s="7">
        <v>30</v>
      </c>
      <c r="I130" s="72">
        <v>0.5</v>
      </c>
      <c r="J130" s="72">
        <v>0.34</v>
      </c>
      <c r="K130" s="72">
        <v>0</v>
      </c>
      <c r="L130" s="72">
        <v>0.81</v>
      </c>
      <c r="M130" s="72">
        <v>0.14000000000000001</v>
      </c>
    </row>
    <row r="131" spans="1:13" ht="15" thickBot="1" x14ac:dyDescent="0.4">
      <c r="A131" s="91" t="s">
        <v>266</v>
      </c>
      <c r="B131" s="7">
        <v>5325</v>
      </c>
      <c r="C131" s="72">
        <v>0.02</v>
      </c>
      <c r="D131" s="7">
        <v>1865</v>
      </c>
      <c r="E131" s="7">
        <v>1835</v>
      </c>
      <c r="F131" s="7">
        <v>1240</v>
      </c>
      <c r="G131" s="7">
        <v>2755</v>
      </c>
      <c r="H131" s="7">
        <v>535</v>
      </c>
      <c r="I131" s="72">
        <v>0.35</v>
      </c>
      <c r="J131" s="72">
        <v>0.34</v>
      </c>
      <c r="K131" s="72">
        <v>0.23</v>
      </c>
      <c r="L131" s="72">
        <v>0.52</v>
      </c>
      <c r="M131" s="72">
        <v>0.1</v>
      </c>
    </row>
    <row r="132" spans="1:13" ht="15" thickBot="1" x14ac:dyDescent="0.4">
      <c r="A132" s="91" t="s">
        <v>192</v>
      </c>
      <c r="B132" s="7">
        <v>640</v>
      </c>
      <c r="C132" s="72">
        <v>0.03</v>
      </c>
      <c r="D132" s="7">
        <v>620</v>
      </c>
      <c r="E132" s="7">
        <v>0</v>
      </c>
      <c r="F132" s="7">
        <v>0</v>
      </c>
      <c r="G132" s="7">
        <v>0</v>
      </c>
      <c r="H132" s="7">
        <v>20</v>
      </c>
      <c r="I132" s="72">
        <v>0.97</v>
      </c>
      <c r="J132" s="72">
        <v>0</v>
      </c>
      <c r="K132" s="72">
        <v>0</v>
      </c>
      <c r="L132" s="72">
        <v>0</v>
      </c>
      <c r="M132" s="72">
        <v>0.03</v>
      </c>
    </row>
    <row r="133" spans="1:13" ht="15" thickBot="1" x14ac:dyDescent="0.4">
      <c r="A133" s="91" t="s">
        <v>193</v>
      </c>
      <c r="B133" s="7">
        <v>4185</v>
      </c>
      <c r="C133" s="72">
        <v>0.03</v>
      </c>
      <c r="D133" s="7">
        <v>1010</v>
      </c>
      <c r="E133" s="7">
        <v>1635</v>
      </c>
      <c r="F133" s="7">
        <v>900</v>
      </c>
      <c r="G133" s="7">
        <v>1715</v>
      </c>
      <c r="H133" s="7">
        <v>545</v>
      </c>
      <c r="I133" s="72">
        <v>0.24</v>
      </c>
      <c r="J133" s="72">
        <v>0.39</v>
      </c>
      <c r="K133" s="72">
        <v>0.21</v>
      </c>
      <c r="L133" s="72">
        <v>0.41</v>
      </c>
      <c r="M133" s="72">
        <v>0.13</v>
      </c>
    </row>
    <row r="134" spans="1:13" ht="15" thickBot="1" x14ac:dyDescent="0.4">
      <c r="A134" s="91" t="s">
        <v>194</v>
      </c>
      <c r="B134" s="7">
        <v>3870</v>
      </c>
      <c r="C134" s="72">
        <v>0.03</v>
      </c>
      <c r="D134" s="7">
        <v>1075</v>
      </c>
      <c r="E134" s="7">
        <v>1275</v>
      </c>
      <c r="F134" s="7">
        <v>1080</v>
      </c>
      <c r="G134" s="7">
        <v>2525</v>
      </c>
      <c r="H134" s="7">
        <v>440</v>
      </c>
      <c r="I134" s="72">
        <v>0.28000000000000003</v>
      </c>
      <c r="J134" s="72">
        <v>0.33</v>
      </c>
      <c r="K134" s="72">
        <v>0.28000000000000003</v>
      </c>
      <c r="L134" s="72">
        <v>0.65</v>
      </c>
      <c r="M134" s="72">
        <v>0.11</v>
      </c>
    </row>
    <row r="135" spans="1:13" ht="15" thickBot="1" x14ac:dyDescent="0.4">
      <c r="A135" s="91" t="s">
        <v>195</v>
      </c>
      <c r="B135" s="7">
        <v>285</v>
      </c>
      <c r="C135" s="72">
        <v>0.03</v>
      </c>
      <c r="D135" s="7">
        <v>145</v>
      </c>
      <c r="E135" s="7">
        <v>100</v>
      </c>
      <c r="F135" s="7">
        <v>0</v>
      </c>
      <c r="G135" s="7">
        <v>235</v>
      </c>
      <c r="H135" s="7">
        <v>40</v>
      </c>
      <c r="I135" s="72">
        <v>0.5</v>
      </c>
      <c r="J135" s="72">
        <v>0.35</v>
      </c>
      <c r="K135" s="72">
        <v>0</v>
      </c>
      <c r="L135" s="72">
        <v>0.82</v>
      </c>
      <c r="M135" s="72">
        <v>0.14000000000000001</v>
      </c>
    </row>
    <row r="136" spans="1:13" ht="15" thickBot="1" x14ac:dyDescent="0.4">
      <c r="A136" s="91" t="s">
        <v>267</v>
      </c>
      <c r="B136" s="7">
        <v>8980</v>
      </c>
      <c r="C136" s="72">
        <v>0.03</v>
      </c>
      <c r="D136" s="7">
        <v>2845</v>
      </c>
      <c r="E136" s="7">
        <v>3010</v>
      </c>
      <c r="F136" s="7">
        <v>1975</v>
      </c>
      <c r="G136" s="7">
        <v>4475</v>
      </c>
      <c r="H136" s="7">
        <v>1045</v>
      </c>
      <c r="I136" s="72">
        <v>0.32</v>
      </c>
      <c r="J136" s="72">
        <v>0.34</v>
      </c>
      <c r="K136" s="72">
        <v>0.22</v>
      </c>
      <c r="L136" s="72">
        <v>0.5</v>
      </c>
      <c r="M136" s="72">
        <v>0.12</v>
      </c>
    </row>
    <row r="137" spans="1:13" ht="29.5" thickBot="1" x14ac:dyDescent="0.4">
      <c r="A137" s="91" t="s">
        <v>196</v>
      </c>
      <c r="B137" s="7">
        <v>295</v>
      </c>
      <c r="C137" s="72">
        <v>0.02</v>
      </c>
      <c r="D137" s="7">
        <v>280</v>
      </c>
      <c r="E137" s="7">
        <v>0</v>
      </c>
      <c r="F137" s="7">
        <v>0</v>
      </c>
      <c r="G137" s="7">
        <v>0</v>
      </c>
      <c r="H137" s="7">
        <v>15</v>
      </c>
      <c r="I137" s="72">
        <v>0.95</v>
      </c>
      <c r="J137" s="72">
        <v>0</v>
      </c>
      <c r="K137" s="72">
        <v>0</v>
      </c>
      <c r="L137" s="72">
        <v>0</v>
      </c>
      <c r="M137" s="72">
        <v>0.05</v>
      </c>
    </row>
    <row r="138" spans="1:13" ht="29.5" thickBot="1" x14ac:dyDescent="0.4">
      <c r="A138" s="91" t="s">
        <v>197</v>
      </c>
      <c r="B138" s="7">
        <v>1850</v>
      </c>
      <c r="C138" s="72">
        <v>0.01</v>
      </c>
      <c r="D138" s="7">
        <v>510</v>
      </c>
      <c r="E138" s="7">
        <v>740</v>
      </c>
      <c r="F138" s="7">
        <v>420</v>
      </c>
      <c r="G138" s="7">
        <v>790</v>
      </c>
      <c r="H138" s="7">
        <v>185</v>
      </c>
      <c r="I138" s="72">
        <v>0.28000000000000003</v>
      </c>
      <c r="J138" s="72">
        <v>0.4</v>
      </c>
      <c r="K138" s="72">
        <v>0.23</v>
      </c>
      <c r="L138" s="72">
        <v>0.43</v>
      </c>
      <c r="M138" s="72">
        <v>0.1</v>
      </c>
    </row>
    <row r="139" spans="1:13" ht="29.5" thickBot="1" x14ac:dyDescent="0.4">
      <c r="A139" s="91" t="s">
        <v>198</v>
      </c>
      <c r="B139" s="7">
        <v>2015</v>
      </c>
      <c r="C139" s="72">
        <v>0.02</v>
      </c>
      <c r="D139" s="7">
        <v>520</v>
      </c>
      <c r="E139" s="7">
        <v>670</v>
      </c>
      <c r="F139" s="7">
        <v>640</v>
      </c>
      <c r="G139" s="7">
        <v>1225</v>
      </c>
      <c r="H139" s="7">
        <v>235</v>
      </c>
      <c r="I139" s="72">
        <v>0.26</v>
      </c>
      <c r="J139" s="72">
        <v>0.33</v>
      </c>
      <c r="K139" s="72">
        <v>0.32</v>
      </c>
      <c r="L139" s="72">
        <v>0.61</v>
      </c>
      <c r="M139" s="72">
        <v>0.12</v>
      </c>
    </row>
    <row r="140" spans="1:13" ht="29.5" thickBot="1" x14ac:dyDescent="0.4">
      <c r="A140" s="91" t="s">
        <v>199</v>
      </c>
      <c r="B140" s="7">
        <v>165</v>
      </c>
      <c r="C140" s="72">
        <v>0.02</v>
      </c>
      <c r="D140" s="7">
        <v>75</v>
      </c>
      <c r="E140" s="7">
        <v>65</v>
      </c>
      <c r="F140" s="7">
        <v>0</v>
      </c>
      <c r="G140" s="7">
        <v>135</v>
      </c>
      <c r="H140" s="7">
        <v>25</v>
      </c>
      <c r="I140" s="72">
        <v>0.45</v>
      </c>
      <c r="J140" s="72">
        <v>0.38</v>
      </c>
      <c r="K140" s="72">
        <v>0</v>
      </c>
      <c r="L140" s="72">
        <v>0.81</v>
      </c>
      <c r="M140" s="72">
        <v>0.16</v>
      </c>
    </row>
    <row r="141" spans="1:13" ht="15" thickBot="1" x14ac:dyDescent="0.4">
      <c r="A141" s="91" t="s">
        <v>268</v>
      </c>
      <c r="B141" s="7">
        <v>4325</v>
      </c>
      <c r="C141" s="72">
        <v>0.02</v>
      </c>
      <c r="D141" s="7">
        <v>1385</v>
      </c>
      <c r="E141" s="7">
        <v>1475</v>
      </c>
      <c r="F141" s="7">
        <v>1065</v>
      </c>
      <c r="G141" s="7">
        <v>2150</v>
      </c>
      <c r="H141" s="7">
        <v>460</v>
      </c>
      <c r="I141" s="72">
        <v>0.32</v>
      </c>
      <c r="J141" s="72">
        <v>0.34</v>
      </c>
      <c r="K141" s="72">
        <v>0.25</v>
      </c>
      <c r="L141" s="72">
        <v>0.5</v>
      </c>
      <c r="M141" s="72">
        <v>0.11</v>
      </c>
    </row>
    <row r="142" spans="1:13" ht="29.5" thickBot="1" x14ac:dyDescent="0.4">
      <c r="A142" s="91" t="s">
        <v>200</v>
      </c>
      <c r="B142" s="7">
        <v>35</v>
      </c>
      <c r="C142" s="72">
        <v>0</v>
      </c>
      <c r="D142" s="7">
        <v>35</v>
      </c>
      <c r="E142" s="7">
        <v>0</v>
      </c>
      <c r="F142" s="7">
        <v>0</v>
      </c>
      <c r="G142" s="7">
        <v>0</v>
      </c>
      <c r="H142" s="7" t="s">
        <v>486</v>
      </c>
      <c r="I142" s="72" t="s">
        <v>486</v>
      </c>
      <c r="J142" s="72">
        <v>0</v>
      </c>
      <c r="K142" s="72">
        <v>0</v>
      </c>
      <c r="L142" s="72">
        <v>0</v>
      </c>
      <c r="M142" s="72" t="s">
        <v>486</v>
      </c>
    </row>
    <row r="143" spans="1:13" ht="29.5" thickBot="1" x14ac:dyDescent="0.4">
      <c r="A143" s="91" t="s">
        <v>201</v>
      </c>
      <c r="B143" s="7">
        <v>245</v>
      </c>
      <c r="C143" s="72">
        <v>0</v>
      </c>
      <c r="D143" s="7">
        <v>65</v>
      </c>
      <c r="E143" s="7">
        <v>120</v>
      </c>
      <c r="F143" s="7">
        <v>60</v>
      </c>
      <c r="G143" s="7">
        <v>105</v>
      </c>
      <c r="H143" s="7">
        <v>15</v>
      </c>
      <c r="I143" s="72">
        <v>0.27</v>
      </c>
      <c r="J143" s="72">
        <v>0.49</v>
      </c>
      <c r="K143" s="72">
        <v>0.25</v>
      </c>
      <c r="L143" s="72">
        <v>0.42</v>
      </c>
      <c r="M143" s="72">
        <v>0.06</v>
      </c>
    </row>
    <row r="144" spans="1:13" ht="29.5" thickBot="1" x14ac:dyDescent="0.4">
      <c r="A144" s="91" t="s">
        <v>202</v>
      </c>
      <c r="B144" s="7">
        <v>235</v>
      </c>
      <c r="C144" s="72">
        <v>0</v>
      </c>
      <c r="D144" s="7">
        <v>60</v>
      </c>
      <c r="E144" s="7">
        <v>80</v>
      </c>
      <c r="F144" s="7">
        <v>70</v>
      </c>
      <c r="G144" s="7">
        <v>155</v>
      </c>
      <c r="H144" s="7">
        <v>30</v>
      </c>
      <c r="I144" s="72">
        <v>0.25</v>
      </c>
      <c r="J144" s="72">
        <v>0.35</v>
      </c>
      <c r="K144" s="72">
        <v>0.28999999999999998</v>
      </c>
      <c r="L144" s="72">
        <v>0.67</v>
      </c>
      <c r="M144" s="72">
        <v>0.12</v>
      </c>
    </row>
    <row r="145" spans="1:13" ht="29.5" thickBot="1" x14ac:dyDescent="0.4">
      <c r="A145" s="91" t="s">
        <v>203</v>
      </c>
      <c r="B145" s="7">
        <v>15</v>
      </c>
      <c r="C145" s="72">
        <v>0</v>
      </c>
      <c r="D145" s="7">
        <v>10</v>
      </c>
      <c r="E145" s="7">
        <v>5</v>
      </c>
      <c r="F145" s="7">
        <v>0</v>
      </c>
      <c r="G145" s="7">
        <v>15</v>
      </c>
      <c r="H145" s="7" t="s">
        <v>486</v>
      </c>
      <c r="I145" s="72">
        <v>0.56000000000000005</v>
      </c>
      <c r="J145" s="72">
        <v>0.31</v>
      </c>
      <c r="K145" s="72">
        <v>0</v>
      </c>
      <c r="L145" s="72">
        <v>0.88</v>
      </c>
      <c r="M145" s="72" t="s">
        <v>486</v>
      </c>
    </row>
    <row r="146" spans="1:13" ht="15" thickBot="1" x14ac:dyDescent="0.4">
      <c r="A146" s="91" t="s">
        <v>269</v>
      </c>
      <c r="B146" s="7">
        <v>530</v>
      </c>
      <c r="C146" s="72">
        <v>0</v>
      </c>
      <c r="D146" s="7">
        <v>170</v>
      </c>
      <c r="E146" s="7">
        <v>205</v>
      </c>
      <c r="F146" s="7">
        <v>130</v>
      </c>
      <c r="G146" s="7">
        <v>275</v>
      </c>
      <c r="H146" s="7">
        <v>45</v>
      </c>
      <c r="I146" s="72">
        <v>0.32</v>
      </c>
      <c r="J146" s="72">
        <v>0.39</v>
      </c>
      <c r="K146" s="72">
        <v>0.24</v>
      </c>
      <c r="L146" s="72">
        <v>0.52</v>
      </c>
      <c r="M146" s="72">
        <v>0.09</v>
      </c>
    </row>
    <row r="147" spans="1:13" ht="15" thickBot="1" x14ac:dyDescent="0.4">
      <c r="A147" s="91" t="s">
        <v>204</v>
      </c>
      <c r="B147" s="7">
        <v>330</v>
      </c>
      <c r="C147" s="72">
        <v>0.02</v>
      </c>
      <c r="D147" s="7">
        <v>320</v>
      </c>
      <c r="E147" s="7">
        <v>0</v>
      </c>
      <c r="F147" s="7">
        <v>0</v>
      </c>
      <c r="G147" s="7">
        <v>0</v>
      </c>
      <c r="H147" s="7">
        <v>10</v>
      </c>
      <c r="I147" s="72">
        <v>0.97</v>
      </c>
      <c r="J147" s="72">
        <v>0</v>
      </c>
      <c r="K147" s="72">
        <v>0</v>
      </c>
      <c r="L147" s="72">
        <v>0</v>
      </c>
      <c r="M147" s="72">
        <v>0.03</v>
      </c>
    </row>
    <row r="148" spans="1:13" ht="15" thickBot="1" x14ac:dyDescent="0.4">
      <c r="A148" s="91" t="s">
        <v>205</v>
      </c>
      <c r="B148" s="7">
        <v>2445</v>
      </c>
      <c r="C148" s="72">
        <v>0.02</v>
      </c>
      <c r="D148" s="7">
        <v>625</v>
      </c>
      <c r="E148" s="7">
        <v>930</v>
      </c>
      <c r="F148" s="7">
        <v>590</v>
      </c>
      <c r="G148" s="7">
        <v>990</v>
      </c>
      <c r="H148" s="7">
        <v>295</v>
      </c>
      <c r="I148" s="72">
        <v>0.26</v>
      </c>
      <c r="J148" s="72">
        <v>0.38</v>
      </c>
      <c r="K148" s="72">
        <v>0.24</v>
      </c>
      <c r="L148" s="72">
        <v>0.41</v>
      </c>
      <c r="M148" s="72">
        <v>0.12</v>
      </c>
    </row>
    <row r="149" spans="1:13" ht="15" thickBot="1" x14ac:dyDescent="0.4">
      <c r="A149" s="91" t="s">
        <v>206</v>
      </c>
      <c r="B149" s="7">
        <v>2390</v>
      </c>
      <c r="C149" s="72">
        <v>0.02</v>
      </c>
      <c r="D149" s="7">
        <v>650</v>
      </c>
      <c r="E149" s="7">
        <v>785</v>
      </c>
      <c r="F149" s="7">
        <v>675</v>
      </c>
      <c r="G149" s="7">
        <v>1490</v>
      </c>
      <c r="H149" s="7">
        <v>340</v>
      </c>
      <c r="I149" s="72">
        <v>0.27</v>
      </c>
      <c r="J149" s="72">
        <v>0.33</v>
      </c>
      <c r="K149" s="72">
        <v>0.28000000000000003</v>
      </c>
      <c r="L149" s="72">
        <v>0.62</v>
      </c>
      <c r="M149" s="72">
        <v>0.14000000000000001</v>
      </c>
    </row>
    <row r="150" spans="1:13" ht="15" thickBot="1" x14ac:dyDescent="0.4">
      <c r="A150" s="91" t="s">
        <v>207</v>
      </c>
      <c r="B150" s="7">
        <v>195</v>
      </c>
      <c r="C150" s="72">
        <v>0.02</v>
      </c>
      <c r="D150" s="7">
        <v>105</v>
      </c>
      <c r="E150" s="7">
        <v>65</v>
      </c>
      <c r="F150" s="7">
        <v>0</v>
      </c>
      <c r="G150" s="7">
        <v>155</v>
      </c>
      <c r="H150" s="7">
        <v>30</v>
      </c>
      <c r="I150" s="72">
        <v>0.53</v>
      </c>
      <c r="J150" s="72">
        <v>0.33</v>
      </c>
      <c r="K150" s="72">
        <v>0</v>
      </c>
      <c r="L150" s="72">
        <v>0.81</v>
      </c>
      <c r="M150" s="72">
        <v>0.16</v>
      </c>
    </row>
    <row r="151" spans="1:13" ht="15" thickBot="1" x14ac:dyDescent="0.4">
      <c r="A151" s="91" t="s">
        <v>270</v>
      </c>
      <c r="B151" s="7">
        <v>5360</v>
      </c>
      <c r="C151" s="72">
        <v>0.02</v>
      </c>
      <c r="D151" s="7">
        <v>1695</v>
      </c>
      <c r="E151" s="7">
        <v>1775</v>
      </c>
      <c r="F151" s="7">
        <v>1265</v>
      </c>
      <c r="G151" s="7">
        <v>2640</v>
      </c>
      <c r="H151" s="7">
        <v>680</v>
      </c>
      <c r="I151" s="72">
        <v>0.32</v>
      </c>
      <c r="J151" s="72">
        <v>0.33</v>
      </c>
      <c r="K151" s="72">
        <v>0.24</v>
      </c>
      <c r="L151" s="72">
        <v>0.49</v>
      </c>
      <c r="M151" s="72">
        <v>0.13</v>
      </c>
    </row>
    <row r="152" spans="1:13" ht="29.5" thickBot="1" x14ac:dyDescent="0.4">
      <c r="A152" s="91" t="s">
        <v>208</v>
      </c>
      <c r="B152" s="7">
        <v>1130</v>
      </c>
      <c r="C152" s="72">
        <v>0.06</v>
      </c>
      <c r="D152" s="7">
        <v>1080</v>
      </c>
      <c r="E152" s="7">
        <v>0</v>
      </c>
      <c r="F152" s="7">
        <v>0</v>
      </c>
      <c r="G152" s="7">
        <v>0</v>
      </c>
      <c r="H152" s="7">
        <v>50</v>
      </c>
      <c r="I152" s="72">
        <v>0.96</v>
      </c>
      <c r="J152" s="72">
        <v>0</v>
      </c>
      <c r="K152" s="72">
        <v>0</v>
      </c>
      <c r="L152" s="72">
        <v>0</v>
      </c>
      <c r="M152" s="72">
        <v>0.04</v>
      </c>
    </row>
    <row r="153" spans="1:13" ht="29.5" thickBot="1" x14ac:dyDescent="0.4">
      <c r="A153" s="91" t="s">
        <v>209</v>
      </c>
      <c r="B153" s="7">
        <v>7270</v>
      </c>
      <c r="C153" s="72">
        <v>0.06</v>
      </c>
      <c r="D153" s="7">
        <v>1940</v>
      </c>
      <c r="E153" s="7">
        <v>2840</v>
      </c>
      <c r="F153" s="7">
        <v>1650</v>
      </c>
      <c r="G153" s="7">
        <v>2905</v>
      </c>
      <c r="H153" s="7">
        <v>895</v>
      </c>
      <c r="I153" s="72">
        <v>0.27</v>
      </c>
      <c r="J153" s="72">
        <v>0.39</v>
      </c>
      <c r="K153" s="72">
        <v>0.23</v>
      </c>
      <c r="L153" s="72">
        <v>0.4</v>
      </c>
      <c r="M153" s="72">
        <v>0.12</v>
      </c>
    </row>
    <row r="154" spans="1:13" ht="29.5" thickBot="1" x14ac:dyDescent="0.4">
      <c r="A154" s="91" t="s">
        <v>210</v>
      </c>
      <c r="B154" s="7">
        <v>7005</v>
      </c>
      <c r="C154" s="72">
        <v>0.06</v>
      </c>
      <c r="D154" s="7">
        <v>2075</v>
      </c>
      <c r="E154" s="7">
        <v>2305</v>
      </c>
      <c r="F154" s="7">
        <v>1860</v>
      </c>
      <c r="G154" s="7">
        <v>4590</v>
      </c>
      <c r="H154" s="7">
        <v>830</v>
      </c>
      <c r="I154" s="72">
        <v>0.3</v>
      </c>
      <c r="J154" s="72">
        <v>0.33</v>
      </c>
      <c r="K154" s="72">
        <v>0.27</v>
      </c>
      <c r="L154" s="72">
        <v>0.66</v>
      </c>
      <c r="M154" s="72">
        <v>0.12</v>
      </c>
    </row>
    <row r="155" spans="1:13" ht="29.5" thickBot="1" x14ac:dyDescent="0.4">
      <c r="A155" s="91" t="s">
        <v>211</v>
      </c>
      <c r="B155" s="7">
        <v>655</v>
      </c>
      <c r="C155" s="72">
        <v>0.06</v>
      </c>
      <c r="D155" s="7">
        <v>320</v>
      </c>
      <c r="E155" s="7">
        <v>225</v>
      </c>
      <c r="F155" s="7">
        <v>0</v>
      </c>
      <c r="G155" s="7">
        <v>535</v>
      </c>
      <c r="H155" s="7">
        <v>100</v>
      </c>
      <c r="I155" s="72">
        <v>0.49</v>
      </c>
      <c r="J155" s="72">
        <v>0.35</v>
      </c>
      <c r="K155" s="72">
        <v>0</v>
      </c>
      <c r="L155" s="72">
        <v>0.82</v>
      </c>
      <c r="M155" s="72">
        <v>0.16</v>
      </c>
    </row>
    <row r="156" spans="1:13" ht="15" thickBot="1" x14ac:dyDescent="0.4">
      <c r="A156" s="91" t="s">
        <v>271</v>
      </c>
      <c r="B156" s="7">
        <v>16055</v>
      </c>
      <c r="C156" s="72">
        <v>0.06</v>
      </c>
      <c r="D156" s="7">
        <v>5415</v>
      </c>
      <c r="E156" s="7">
        <v>5370</v>
      </c>
      <c r="F156" s="7">
        <v>3505</v>
      </c>
      <c r="G156" s="7">
        <v>8030</v>
      </c>
      <c r="H156" s="7">
        <v>1875</v>
      </c>
      <c r="I156" s="72">
        <v>0.34</v>
      </c>
      <c r="J156" s="72">
        <v>0.33</v>
      </c>
      <c r="K156" s="72">
        <v>0.22</v>
      </c>
      <c r="L156" s="72">
        <v>0.5</v>
      </c>
      <c r="M156" s="72">
        <v>0.12</v>
      </c>
    </row>
    <row r="157" spans="1:13" ht="15" thickBot="1" x14ac:dyDescent="0.4">
      <c r="A157" s="91" t="s">
        <v>212</v>
      </c>
      <c r="B157" s="7">
        <v>205</v>
      </c>
      <c r="C157" s="72">
        <v>0.01</v>
      </c>
      <c r="D157" s="7">
        <v>200</v>
      </c>
      <c r="E157" s="7">
        <v>0</v>
      </c>
      <c r="F157" s="7">
        <v>0</v>
      </c>
      <c r="G157" s="7">
        <v>0</v>
      </c>
      <c r="H157" s="7">
        <v>5</v>
      </c>
      <c r="I157" s="72">
        <v>0.97</v>
      </c>
      <c r="J157" s="72">
        <v>0</v>
      </c>
      <c r="K157" s="72">
        <v>0</v>
      </c>
      <c r="L157" s="72">
        <v>0</v>
      </c>
      <c r="M157" s="72">
        <v>0.03</v>
      </c>
    </row>
    <row r="158" spans="1:13" ht="15" thickBot="1" x14ac:dyDescent="0.4">
      <c r="A158" s="91" t="s">
        <v>213</v>
      </c>
      <c r="B158" s="7">
        <v>1350</v>
      </c>
      <c r="C158" s="72">
        <v>0.01</v>
      </c>
      <c r="D158" s="7">
        <v>390</v>
      </c>
      <c r="E158" s="7">
        <v>530</v>
      </c>
      <c r="F158" s="7">
        <v>260</v>
      </c>
      <c r="G158" s="7">
        <v>620</v>
      </c>
      <c r="H158" s="7">
        <v>155</v>
      </c>
      <c r="I158" s="72">
        <v>0.28999999999999998</v>
      </c>
      <c r="J158" s="72">
        <v>0.39</v>
      </c>
      <c r="K158" s="72">
        <v>0.19</v>
      </c>
      <c r="L158" s="72">
        <v>0.46</v>
      </c>
      <c r="M158" s="72">
        <v>0.11</v>
      </c>
    </row>
    <row r="159" spans="1:13" ht="15" thickBot="1" x14ac:dyDescent="0.4">
      <c r="A159" s="91" t="s">
        <v>214</v>
      </c>
      <c r="B159" s="7">
        <v>1310</v>
      </c>
      <c r="C159" s="72">
        <v>0.01</v>
      </c>
      <c r="D159" s="7">
        <v>385</v>
      </c>
      <c r="E159" s="7">
        <v>445</v>
      </c>
      <c r="F159" s="7">
        <v>375</v>
      </c>
      <c r="G159" s="7">
        <v>865</v>
      </c>
      <c r="H159" s="7">
        <v>150</v>
      </c>
      <c r="I159" s="72">
        <v>0.28999999999999998</v>
      </c>
      <c r="J159" s="72">
        <v>0.34</v>
      </c>
      <c r="K159" s="72">
        <v>0.28999999999999998</v>
      </c>
      <c r="L159" s="72">
        <v>0.66</v>
      </c>
      <c r="M159" s="72">
        <v>0.11</v>
      </c>
    </row>
    <row r="160" spans="1:13" ht="15" thickBot="1" x14ac:dyDescent="0.4">
      <c r="A160" s="91" t="s">
        <v>215</v>
      </c>
      <c r="B160" s="7">
        <v>130</v>
      </c>
      <c r="C160" s="72">
        <v>0.01</v>
      </c>
      <c r="D160" s="7">
        <v>55</v>
      </c>
      <c r="E160" s="7">
        <v>45</v>
      </c>
      <c r="F160" s="7">
        <v>0</v>
      </c>
      <c r="G160" s="7">
        <v>100</v>
      </c>
      <c r="H160" s="7">
        <v>25</v>
      </c>
      <c r="I160" s="72">
        <v>0.43</v>
      </c>
      <c r="J160" s="72">
        <v>0.36</v>
      </c>
      <c r="K160" s="72">
        <v>0</v>
      </c>
      <c r="L160" s="72">
        <v>0.77</v>
      </c>
      <c r="M160" s="72">
        <v>0.2</v>
      </c>
    </row>
    <row r="161" spans="1:13" ht="15" thickBot="1" x14ac:dyDescent="0.4">
      <c r="A161" s="91" t="s">
        <v>272</v>
      </c>
      <c r="B161" s="7">
        <v>3000</v>
      </c>
      <c r="C161" s="72">
        <v>0.01</v>
      </c>
      <c r="D161" s="7">
        <v>1035</v>
      </c>
      <c r="E161" s="7">
        <v>1020</v>
      </c>
      <c r="F161" s="7">
        <v>635</v>
      </c>
      <c r="G161" s="7">
        <v>1585</v>
      </c>
      <c r="H161" s="7">
        <v>335</v>
      </c>
      <c r="I161" s="72">
        <v>0.34</v>
      </c>
      <c r="J161" s="72">
        <v>0.34</v>
      </c>
      <c r="K161" s="72">
        <v>0.21</v>
      </c>
      <c r="L161" s="72">
        <v>0.53</v>
      </c>
      <c r="M161" s="72">
        <v>0.11</v>
      </c>
    </row>
    <row r="162" spans="1:13" ht="15" thickBot="1" x14ac:dyDescent="0.4">
      <c r="A162" s="91" t="s">
        <v>216</v>
      </c>
      <c r="B162" s="7">
        <v>19480</v>
      </c>
      <c r="C162" s="72">
        <v>1</v>
      </c>
      <c r="D162" s="7">
        <v>18775</v>
      </c>
      <c r="E162" s="7">
        <v>0</v>
      </c>
      <c r="F162" s="7">
        <v>0</v>
      </c>
      <c r="G162" s="7">
        <v>0</v>
      </c>
      <c r="H162" s="7">
        <v>705</v>
      </c>
      <c r="I162" s="72">
        <v>0.96</v>
      </c>
      <c r="J162" s="72">
        <v>0</v>
      </c>
      <c r="K162" s="72">
        <v>0</v>
      </c>
      <c r="L162" s="72">
        <v>0</v>
      </c>
      <c r="M162" s="72">
        <v>0.04</v>
      </c>
    </row>
    <row r="163" spans="1:13" ht="15" thickBot="1" x14ac:dyDescent="0.4">
      <c r="A163" s="91" t="s">
        <v>217</v>
      </c>
      <c r="B163" s="7">
        <v>128070</v>
      </c>
      <c r="C163" s="72">
        <v>1</v>
      </c>
      <c r="D163" s="7">
        <v>35235</v>
      </c>
      <c r="E163" s="7">
        <v>49305</v>
      </c>
      <c r="F163" s="7">
        <v>27285</v>
      </c>
      <c r="G163" s="7">
        <v>54660</v>
      </c>
      <c r="H163" s="7">
        <v>16065</v>
      </c>
      <c r="I163" s="72">
        <v>0.28000000000000003</v>
      </c>
      <c r="J163" s="72">
        <v>0.38</v>
      </c>
      <c r="K163" s="72">
        <v>0.21</v>
      </c>
      <c r="L163" s="72">
        <v>0.43</v>
      </c>
      <c r="M163" s="72">
        <v>0.13</v>
      </c>
    </row>
    <row r="164" spans="1:13" ht="15" thickBot="1" x14ac:dyDescent="0.4">
      <c r="A164" s="91" t="s">
        <v>218</v>
      </c>
      <c r="B164" s="7">
        <v>118545</v>
      </c>
      <c r="C164" s="72">
        <v>1</v>
      </c>
      <c r="D164" s="7">
        <v>34075</v>
      </c>
      <c r="E164" s="7">
        <v>38465</v>
      </c>
      <c r="F164" s="7">
        <v>33155</v>
      </c>
      <c r="G164" s="7">
        <v>76945</v>
      </c>
      <c r="H164" s="7">
        <v>14285</v>
      </c>
      <c r="I164" s="72">
        <v>0.28999999999999998</v>
      </c>
      <c r="J164" s="72">
        <v>0.32</v>
      </c>
      <c r="K164" s="72">
        <v>0.28000000000000003</v>
      </c>
      <c r="L164" s="72">
        <v>0.65</v>
      </c>
      <c r="M164" s="72">
        <v>0.12</v>
      </c>
    </row>
    <row r="165" spans="1:13" ht="15" thickBot="1" x14ac:dyDescent="0.4">
      <c r="A165" s="91" t="s">
        <v>219</v>
      </c>
      <c r="B165" s="7">
        <v>10155</v>
      </c>
      <c r="C165" s="72">
        <v>1</v>
      </c>
      <c r="D165" s="7">
        <v>4725</v>
      </c>
      <c r="E165" s="7">
        <v>3570</v>
      </c>
      <c r="F165" s="7">
        <v>0</v>
      </c>
      <c r="G165" s="7">
        <v>8175</v>
      </c>
      <c r="H165" s="7">
        <v>1640</v>
      </c>
      <c r="I165" s="72">
        <v>0.47</v>
      </c>
      <c r="J165" s="72">
        <v>0.35</v>
      </c>
      <c r="K165" s="72">
        <v>0</v>
      </c>
      <c r="L165" s="72">
        <v>0.81</v>
      </c>
      <c r="M165" s="72">
        <v>0.16</v>
      </c>
    </row>
    <row r="166" spans="1:13" ht="15" thickBot="1" x14ac:dyDescent="0.4">
      <c r="A166" s="91" t="s">
        <v>273</v>
      </c>
      <c r="B166" s="7">
        <v>276250</v>
      </c>
      <c r="C166" s="72">
        <v>1</v>
      </c>
      <c r="D166" s="7">
        <v>92810</v>
      </c>
      <c r="E166" s="7">
        <v>91340</v>
      </c>
      <c r="F166" s="7">
        <v>60435</v>
      </c>
      <c r="G166" s="7">
        <v>139785</v>
      </c>
      <c r="H166" s="7">
        <v>32700</v>
      </c>
      <c r="I166" s="72">
        <v>0.34</v>
      </c>
      <c r="J166" s="72">
        <v>0.33</v>
      </c>
      <c r="K166" s="72">
        <v>0.22</v>
      </c>
      <c r="L166" s="72">
        <v>0.51</v>
      </c>
      <c r="M166" s="72">
        <v>0.12</v>
      </c>
    </row>
    <row r="167" spans="1:13" ht="29.5" thickBot="1" x14ac:dyDescent="0.4">
      <c r="A167" s="91" t="s">
        <v>233</v>
      </c>
      <c r="B167" s="7">
        <v>15</v>
      </c>
      <c r="C167" s="72">
        <v>0</v>
      </c>
      <c r="D167" s="7">
        <v>15</v>
      </c>
      <c r="E167" s="7">
        <v>0</v>
      </c>
      <c r="F167" s="7">
        <v>0</v>
      </c>
      <c r="G167" s="7">
        <v>0</v>
      </c>
      <c r="H167" s="7">
        <v>0</v>
      </c>
      <c r="I167" s="72">
        <v>1</v>
      </c>
      <c r="J167" s="72">
        <v>0</v>
      </c>
      <c r="K167" s="72">
        <v>0</v>
      </c>
      <c r="L167" s="72">
        <v>0</v>
      </c>
      <c r="M167" s="7">
        <v>0</v>
      </c>
    </row>
    <row r="168" spans="1:13" ht="29.5" thickBot="1" x14ac:dyDescent="0.4">
      <c r="A168" s="91" t="s">
        <v>234</v>
      </c>
      <c r="B168" s="7">
        <v>110</v>
      </c>
      <c r="C168" s="72">
        <v>0</v>
      </c>
      <c r="D168" s="7">
        <v>40</v>
      </c>
      <c r="E168" s="7">
        <v>45</v>
      </c>
      <c r="F168" s="7">
        <v>15</v>
      </c>
      <c r="G168" s="7">
        <v>65</v>
      </c>
      <c r="H168" s="7">
        <v>10</v>
      </c>
      <c r="I168" s="72">
        <v>0.39</v>
      </c>
      <c r="J168" s="72">
        <v>0.4</v>
      </c>
      <c r="K168" s="72">
        <v>0.12</v>
      </c>
      <c r="L168" s="72">
        <v>0.59</v>
      </c>
      <c r="M168" s="72">
        <v>0.1</v>
      </c>
    </row>
    <row r="169" spans="1:13" ht="29.5" thickBot="1" x14ac:dyDescent="0.4">
      <c r="A169" s="91" t="s">
        <v>235</v>
      </c>
      <c r="B169" s="7">
        <v>155</v>
      </c>
      <c r="C169" s="72">
        <v>0</v>
      </c>
      <c r="D169" s="7">
        <v>55</v>
      </c>
      <c r="E169" s="7">
        <v>55</v>
      </c>
      <c r="F169" s="7">
        <v>30</v>
      </c>
      <c r="G169" s="7">
        <v>115</v>
      </c>
      <c r="H169" s="7">
        <v>15</v>
      </c>
      <c r="I169" s="72">
        <v>0.37</v>
      </c>
      <c r="J169" s="72">
        <v>0.37</v>
      </c>
      <c r="K169" s="72">
        <v>0.2</v>
      </c>
      <c r="L169" s="72">
        <v>0.74</v>
      </c>
      <c r="M169" s="72">
        <v>0.09</v>
      </c>
    </row>
    <row r="170" spans="1:13" ht="29.5" thickBot="1" x14ac:dyDescent="0.4">
      <c r="A170" s="91" t="s">
        <v>236</v>
      </c>
      <c r="B170" s="7">
        <v>20</v>
      </c>
      <c r="C170" s="72">
        <v>0</v>
      </c>
      <c r="D170" s="7">
        <v>5</v>
      </c>
      <c r="E170" s="7">
        <v>5</v>
      </c>
      <c r="F170" s="7">
        <v>0</v>
      </c>
      <c r="G170" s="7">
        <v>15</v>
      </c>
      <c r="H170" s="7">
        <v>5</v>
      </c>
      <c r="I170" s="72">
        <v>0.39</v>
      </c>
      <c r="J170" s="72">
        <v>0.39</v>
      </c>
      <c r="K170" s="72">
        <v>0</v>
      </c>
      <c r="L170" s="72">
        <v>0.78</v>
      </c>
      <c r="M170" s="72">
        <v>0.17</v>
      </c>
    </row>
    <row r="171" spans="1:13" ht="29.5" thickBot="1" x14ac:dyDescent="0.4">
      <c r="A171" s="91" t="s">
        <v>277</v>
      </c>
      <c r="B171" s="7">
        <v>295</v>
      </c>
      <c r="C171" s="72">
        <v>0</v>
      </c>
      <c r="D171" s="7">
        <v>120</v>
      </c>
      <c r="E171" s="7">
        <v>105</v>
      </c>
      <c r="F171" s="7">
        <v>45</v>
      </c>
      <c r="G171" s="7">
        <v>190</v>
      </c>
      <c r="H171" s="7">
        <v>30</v>
      </c>
      <c r="I171" s="72">
        <v>0.41</v>
      </c>
      <c r="J171" s="72">
        <v>0.36</v>
      </c>
      <c r="K171" s="72">
        <v>0.15</v>
      </c>
      <c r="L171" s="72">
        <v>0.65</v>
      </c>
      <c r="M171" s="72">
        <v>0.09</v>
      </c>
    </row>
    <row r="172" spans="1:13" ht="29.5" thickBot="1" x14ac:dyDescent="0.4">
      <c r="A172" s="91" t="s">
        <v>220</v>
      </c>
      <c r="B172" s="7">
        <v>455</v>
      </c>
      <c r="C172" s="72">
        <v>0.02</v>
      </c>
      <c r="D172" s="7">
        <v>440</v>
      </c>
      <c r="E172" s="7">
        <v>0</v>
      </c>
      <c r="F172" s="7">
        <v>0</v>
      </c>
      <c r="G172" s="7">
        <v>0</v>
      </c>
      <c r="H172" s="7">
        <v>20</v>
      </c>
      <c r="I172" s="72">
        <v>0.96</v>
      </c>
      <c r="J172" s="72">
        <v>0</v>
      </c>
      <c r="K172" s="72">
        <v>0</v>
      </c>
      <c r="L172" s="72">
        <v>0</v>
      </c>
      <c r="M172" s="72">
        <v>0.04</v>
      </c>
    </row>
    <row r="173" spans="1:13" ht="29.5" thickBot="1" x14ac:dyDescent="0.4">
      <c r="A173" s="91" t="s">
        <v>221</v>
      </c>
      <c r="B173" s="7">
        <v>3160</v>
      </c>
      <c r="C173" s="72">
        <v>0.02</v>
      </c>
      <c r="D173" s="7">
        <v>755</v>
      </c>
      <c r="E173" s="7">
        <v>1195</v>
      </c>
      <c r="F173" s="7">
        <v>670</v>
      </c>
      <c r="G173" s="7">
        <v>1260</v>
      </c>
      <c r="H173" s="7">
        <v>495</v>
      </c>
      <c r="I173" s="72">
        <v>0.24</v>
      </c>
      <c r="J173" s="72">
        <v>0.38</v>
      </c>
      <c r="K173" s="72">
        <v>0.21</v>
      </c>
      <c r="L173" s="72">
        <v>0.4</v>
      </c>
      <c r="M173" s="72">
        <v>0.16</v>
      </c>
    </row>
    <row r="174" spans="1:13" ht="29.5" thickBot="1" x14ac:dyDescent="0.4">
      <c r="A174" s="91" t="s">
        <v>222</v>
      </c>
      <c r="B174" s="7">
        <v>2675</v>
      </c>
      <c r="C174" s="72">
        <v>0.02</v>
      </c>
      <c r="D174" s="7">
        <v>710</v>
      </c>
      <c r="E174" s="7">
        <v>840</v>
      </c>
      <c r="F174" s="7">
        <v>775</v>
      </c>
      <c r="G174" s="7">
        <v>1705</v>
      </c>
      <c r="H174" s="7">
        <v>315</v>
      </c>
      <c r="I174" s="72">
        <v>0.27</v>
      </c>
      <c r="J174" s="72">
        <v>0.31</v>
      </c>
      <c r="K174" s="72">
        <v>0.28999999999999998</v>
      </c>
      <c r="L174" s="72">
        <v>0.64</v>
      </c>
      <c r="M174" s="72">
        <v>0.12</v>
      </c>
    </row>
    <row r="175" spans="1:13" ht="29.5" thickBot="1" x14ac:dyDescent="0.4">
      <c r="A175" s="91" t="s">
        <v>223</v>
      </c>
      <c r="B175" s="7">
        <v>240</v>
      </c>
      <c r="C175" s="72">
        <v>0.02</v>
      </c>
      <c r="D175" s="7">
        <v>115</v>
      </c>
      <c r="E175" s="7">
        <v>75</v>
      </c>
      <c r="F175" s="7">
        <v>0</v>
      </c>
      <c r="G175" s="7">
        <v>190</v>
      </c>
      <c r="H175" s="7">
        <v>45</v>
      </c>
      <c r="I175" s="72">
        <v>0.47</v>
      </c>
      <c r="J175" s="72">
        <v>0.32</v>
      </c>
      <c r="K175" s="72">
        <v>0</v>
      </c>
      <c r="L175" s="72">
        <v>0.79</v>
      </c>
      <c r="M175" s="72">
        <v>0.19</v>
      </c>
    </row>
    <row r="176" spans="1:13" ht="29.5" thickBot="1" x14ac:dyDescent="0.4">
      <c r="A176" s="91" t="s">
        <v>274</v>
      </c>
      <c r="B176" s="7">
        <v>6535</v>
      </c>
      <c r="C176" s="72">
        <v>0.02</v>
      </c>
      <c r="D176" s="7">
        <v>2015</v>
      </c>
      <c r="E176" s="7">
        <v>2115</v>
      </c>
      <c r="F176" s="7">
        <v>1445</v>
      </c>
      <c r="G176" s="7">
        <v>3155</v>
      </c>
      <c r="H176" s="7">
        <v>875</v>
      </c>
      <c r="I176" s="72">
        <v>0.31</v>
      </c>
      <c r="J176" s="72">
        <v>0.32</v>
      </c>
      <c r="K176" s="72">
        <v>0.22</v>
      </c>
      <c r="L176" s="72">
        <v>0.48</v>
      </c>
      <c r="M176" s="72">
        <v>0.13</v>
      </c>
    </row>
    <row r="177" spans="1:13" ht="15" thickBot="1" x14ac:dyDescent="0.4">
      <c r="A177" s="91" t="s">
        <v>224</v>
      </c>
      <c r="B177" s="7">
        <v>670</v>
      </c>
      <c r="C177" s="72">
        <v>0.03</v>
      </c>
      <c r="D177" s="7">
        <v>645</v>
      </c>
      <c r="E177" s="7">
        <v>0</v>
      </c>
      <c r="F177" s="7">
        <v>0</v>
      </c>
      <c r="G177" s="7">
        <v>0</v>
      </c>
      <c r="H177" s="7">
        <v>25</v>
      </c>
      <c r="I177" s="72">
        <v>0.97</v>
      </c>
      <c r="J177" s="72">
        <v>0</v>
      </c>
      <c r="K177" s="72">
        <v>0</v>
      </c>
      <c r="L177" s="72">
        <v>0</v>
      </c>
      <c r="M177" s="72">
        <v>0.03</v>
      </c>
    </row>
    <row r="178" spans="1:13" ht="15" thickBot="1" x14ac:dyDescent="0.4">
      <c r="A178" s="91" t="s">
        <v>225</v>
      </c>
      <c r="B178" s="7">
        <v>4855</v>
      </c>
      <c r="C178" s="72">
        <v>0.04</v>
      </c>
      <c r="D178" s="7">
        <v>1095</v>
      </c>
      <c r="E178" s="7">
        <v>1905</v>
      </c>
      <c r="F178" s="7">
        <v>1165</v>
      </c>
      <c r="G178" s="7">
        <v>1905</v>
      </c>
      <c r="H178" s="7">
        <v>650</v>
      </c>
      <c r="I178" s="72">
        <v>0.23</v>
      </c>
      <c r="J178" s="72">
        <v>0.39</v>
      </c>
      <c r="K178" s="72">
        <v>0.24</v>
      </c>
      <c r="L178" s="72">
        <v>0.39</v>
      </c>
      <c r="M178" s="72">
        <v>0.13</v>
      </c>
    </row>
    <row r="179" spans="1:13" ht="15" thickBot="1" x14ac:dyDescent="0.4">
      <c r="A179" s="91" t="s">
        <v>226</v>
      </c>
      <c r="B179" s="7">
        <v>4420</v>
      </c>
      <c r="C179" s="72">
        <v>0.04</v>
      </c>
      <c r="D179" s="7">
        <v>1235</v>
      </c>
      <c r="E179" s="7">
        <v>1395</v>
      </c>
      <c r="F179" s="7">
        <v>1335</v>
      </c>
      <c r="G179" s="7">
        <v>2750</v>
      </c>
      <c r="H179" s="7">
        <v>535</v>
      </c>
      <c r="I179" s="72">
        <v>0.28000000000000003</v>
      </c>
      <c r="J179" s="72">
        <v>0.32</v>
      </c>
      <c r="K179" s="72">
        <v>0.3</v>
      </c>
      <c r="L179" s="72">
        <v>0.62</v>
      </c>
      <c r="M179" s="72">
        <v>0.12</v>
      </c>
    </row>
    <row r="180" spans="1:13" ht="15" thickBot="1" x14ac:dyDescent="0.4">
      <c r="A180" s="91" t="s">
        <v>227</v>
      </c>
      <c r="B180" s="7">
        <v>380</v>
      </c>
      <c r="C180" s="72">
        <v>0.04</v>
      </c>
      <c r="D180" s="7">
        <v>180</v>
      </c>
      <c r="E180" s="7">
        <v>125</v>
      </c>
      <c r="F180" s="7">
        <v>0</v>
      </c>
      <c r="G180" s="7">
        <v>305</v>
      </c>
      <c r="H180" s="7">
        <v>65</v>
      </c>
      <c r="I180" s="72">
        <v>0.47</v>
      </c>
      <c r="J180" s="72">
        <v>0.33</v>
      </c>
      <c r="K180" s="72">
        <v>0</v>
      </c>
      <c r="L180" s="72">
        <v>0.8</v>
      </c>
      <c r="M180" s="72">
        <v>0.17</v>
      </c>
    </row>
    <row r="181" spans="1:13" x14ac:dyDescent="0.35">
      <c r="A181" s="92" t="s">
        <v>275</v>
      </c>
      <c r="B181" s="7">
        <v>10325</v>
      </c>
      <c r="C181" s="72">
        <v>0.04</v>
      </c>
      <c r="D181" s="7">
        <v>3155</v>
      </c>
      <c r="E181" s="7">
        <v>3425</v>
      </c>
      <c r="F181" s="7">
        <v>2505</v>
      </c>
      <c r="G181" s="7">
        <v>4960</v>
      </c>
      <c r="H181" s="7">
        <v>1270</v>
      </c>
      <c r="I181" s="72">
        <v>0.31</v>
      </c>
      <c r="J181" s="72">
        <v>0.33</v>
      </c>
      <c r="K181" s="72">
        <v>0.24</v>
      </c>
      <c r="L181" s="72">
        <v>0.48</v>
      </c>
      <c r="M181" s="72">
        <v>0.12</v>
      </c>
    </row>
  </sheetData>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91"/>
  <sheetViews>
    <sheetView zoomScale="75" zoomScaleNormal="75" workbookViewId="0"/>
  </sheetViews>
  <sheetFormatPr defaultRowHeight="14.5" x14ac:dyDescent="0.35"/>
  <cols>
    <col min="1" max="1" width="31.1796875" customWidth="1"/>
    <col min="2" max="2" width="18" customWidth="1"/>
    <col min="3" max="3" width="13.453125" customWidth="1"/>
    <col min="4" max="4" width="14.453125" customWidth="1"/>
    <col min="5" max="5" width="16.26953125" customWidth="1"/>
    <col min="6" max="6" width="14.1796875" customWidth="1"/>
    <col min="7" max="7" width="14.54296875" customWidth="1"/>
    <col min="8" max="8" width="15.453125" customWidth="1"/>
    <col min="9" max="9" width="15.54296875" customWidth="1"/>
    <col min="10" max="10" width="16.1796875" customWidth="1"/>
    <col min="12" max="12" width="10.81640625" customWidth="1"/>
  </cols>
  <sheetData>
    <row r="1" spans="1:12" ht="62" x14ac:dyDescent="0.35">
      <c r="A1" s="89" t="s">
        <v>14</v>
      </c>
      <c r="B1" s="70" t="s">
        <v>75</v>
      </c>
      <c r="C1" s="70" t="s">
        <v>342</v>
      </c>
      <c r="D1" s="70" t="s">
        <v>65</v>
      </c>
      <c r="E1" s="70" t="s">
        <v>76</v>
      </c>
      <c r="F1" s="70" t="s">
        <v>77</v>
      </c>
      <c r="G1" s="70" t="s">
        <v>78</v>
      </c>
      <c r="H1" s="70" t="s">
        <v>343</v>
      </c>
      <c r="I1" s="70" t="s">
        <v>344</v>
      </c>
      <c r="J1" s="71" t="s">
        <v>345</v>
      </c>
      <c r="L1" s="71" t="s">
        <v>232</v>
      </c>
    </row>
    <row r="2" spans="1:12" ht="15" thickBot="1" x14ac:dyDescent="0.4">
      <c r="A2" s="91" t="s">
        <v>359</v>
      </c>
      <c r="B2" s="7">
        <v>1390</v>
      </c>
      <c r="C2" s="72">
        <v>7.0000000000000007E-2</v>
      </c>
      <c r="D2" s="7">
        <v>1285</v>
      </c>
      <c r="E2" s="7">
        <v>945</v>
      </c>
      <c r="F2" s="7">
        <v>315</v>
      </c>
      <c r="G2" s="7">
        <v>30</v>
      </c>
      <c r="H2" s="72">
        <v>0.73</v>
      </c>
      <c r="I2" s="72">
        <v>0.24</v>
      </c>
      <c r="J2" s="72">
        <v>0.02</v>
      </c>
      <c r="L2" s="21" t="s">
        <v>228</v>
      </c>
    </row>
    <row r="3" spans="1:12" ht="15" thickBot="1" x14ac:dyDescent="0.4">
      <c r="A3" s="91" t="s">
        <v>360</v>
      </c>
      <c r="B3" s="7">
        <v>10705</v>
      </c>
      <c r="C3" s="72">
        <v>0.08</v>
      </c>
      <c r="D3" s="7">
        <v>10060</v>
      </c>
      <c r="E3" s="7">
        <v>7135</v>
      </c>
      <c r="F3" s="7">
        <v>2455</v>
      </c>
      <c r="G3" s="7">
        <v>470</v>
      </c>
      <c r="H3" s="72">
        <v>0.71</v>
      </c>
      <c r="I3" s="72">
        <v>0.24</v>
      </c>
      <c r="J3" s="72">
        <v>0.05</v>
      </c>
      <c r="L3" s="21" t="s">
        <v>229</v>
      </c>
    </row>
    <row r="4" spans="1:12" ht="15" thickBot="1" x14ac:dyDescent="0.4">
      <c r="A4" s="91" t="s">
        <v>361</v>
      </c>
      <c r="B4" s="7">
        <v>9515</v>
      </c>
      <c r="C4" s="72">
        <v>0.08</v>
      </c>
      <c r="D4" s="7">
        <v>9105</v>
      </c>
      <c r="E4" s="7">
        <v>6470</v>
      </c>
      <c r="F4" s="7">
        <v>2490</v>
      </c>
      <c r="G4" s="7">
        <v>145</v>
      </c>
      <c r="H4" s="72">
        <v>0.71</v>
      </c>
      <c r="I4" s="72">
        <v>0.27</v>
      </c>
      <c r="J4" s="72">
        <v>0.02</v>
      </c>
      <c r="L4" s="21" t="s">
        <v>230</v>
      </c>
    </row>
    <row r="5" spans="1:12" ht="15" thickBot="1" x14ac:dyDescent="0.4">
      <c r="A5" s="91" t="s">
        <v>362</v>
      </c>
      <c r="B5" s="7">
        <v>815</v>
      </c>
      <c r="C5" s="72">
        <v>0.08</v>
      </c>
      <c r="D5" s="7">
        <v>1370</v>
      </c>
      <c r="E5" s="7">
        <v>930</v>
      </c>
      <c r="F5" s="7">
        <v>410</v>
      </c>
      <c r="G5" s="7">
        <v>25</v>
      </c>
      <c r="H5" s="72">
        <v>0.68</v>
      </c>
      <c r="I5" s="72">
        <v>0.3</v>
      </c>
      <c r="J5" s="72">
        <v>0.02</v>
      </c>
      <c r="L5" s="21" t="s">
        <v>231</v>
      </c>
    </row>
    <row r="6" spans="1:12" ht="15" thickBot="1" x14ac:dyDescent="0.4">
      <c r="A6" s="91" t="s">
        <v>363</v>
      </c>
      <c r="B6" s="7">
        <v>22425</v>
      </c>
      <c r="C6" s="72">
        <v>0.08</v>
      </c>
      <c r="D6" s="7">
        <v>21815</v>
      </c>
      <c r="E6" s="7">
        <v>15475</v>
      </c>
      <c r="F6" s="7">
        <v>5670</v>
      </c>
      <c r="G6" s="7">
        <v>670</v>
      </c>
      <c r="H6" s="72">
        <v>0.71</v>
      </c>
      <c r="I6" s="72">
        <v>0.26</v>
      </c>
      <c r="J6" s="72">
        <v>0.03</v>
      </c>
      <c r="L6" s="21" t="s">
        <v>241</v>
      </c>
    </row>
    <row r="7" spans="1:12" ht="15" thickBot="1" x14ac:dyDescent="0.4">
      <c r="A7" s="91" t="s">
        <v>364</v>
      </c>
      <c r="B7" s="7">
        <v>295</v>
      </c>
      <c r="C7" s="72">
        <v>0.02</v>
      </c>
      <c r="D7" s="7">
        <v>275</v>
      </c>
      <c r="E7" s="7">
        <v>200</v>
      </c>
      <c r="F7" s="7">
        <v>65</v>
      </c>
      <c r="G7" s="7">
        <v>10</v>
      </c>
      <c r="H7" s="72">
        <v>0.73</v>
      </c>
      <c r="I7" s="72">
        <v>0.23</v>
      </c>
      <c r="J7" s="72">
        <v>0.04</v>
      </c>
    </row>
    <row r="8" spans="1:12" ht="15" thickBot="1" x14ac:dyDescent="0.4">
      <c r="A8" s="91" t="s">
        <v>365</v>
      </c>
      <c r="B8" s="7">
        <v>1850</v>
      </c>
      <c r="C8" s="72">
        <v>0.01</v>
      </c>
      <c r="D8" s="7">
        <v>1715</v>
      </c>
      <c r="E8" s="7">
        <v>1260</v>
      </c>
      <c r="F8" s="7">
        <v>390</v>
      </c>
      <c r="G8" s="7">
        <v>65</v>
      </c>
      <c r="H8" s="72">
        <v>0.74</v>
      </c>
      <c r="I8" s="72">
        <v>0.23</v>
      </c>
      <c r="J8" s="72">
        <v>0.04</v>
      </c>
    </row>
    <row r="9" spans="1:12" ht="15" thickBot="1" x14ac:dyDescent="0.4">
      <c r="A9" s="91" t="s">
        <v>366</v>
      </c>
      <c r="B9" s="7">
        <v>2015</v>
      </c>
      <c r="C9" s="72">
        <v>0.02</v>
      </c>
      <c r="D9" s="7">
        <v>1925</v>
      </c>
      <c r="E9" s="7">
        <v>1350</v>
      </c>
      <c r="F9" s="7">
        <v>540</v>
      </c>
      <c r="G9" s="7">
        <v>35</v>
      </c>
      <c r="H9" s="72">
        <v>0.7</v>
      </c>
      <c r="I9" s="72">
        <v>0.28000000000000003</v>
      </c>
      <c r="J9" s="72">
        <v>0.02</v>
      </c>
    </row>
    <row r="10" spans="1:12" ht="15" thickBot="1" x14ac:dyDescent="0.4">
      <c r="A10" s="91" t="s">
        <v>367</v>
      </c>
      <c r="B10" s="7">
        <v>165</v>
      </c>
      <c r="C10" s="72">
        <v>0.02</v>
      </c>
      <c r="D10" s="7">
        <v>290</v>
      </c>
      <c r="E10" s="7">
        <v>180</v>
      </c>
      <c r="F10" s="7">
        <v>105</v>
      </c>
      <c r="G10" s="7" t="s">
        <v>486</v>
      </c>
      <c r="H10" s="72">
        <v>0.63</v>
      </c>
      <c r="I10" s="72" t="s">
        <v>486</v>
      </c>
      <c r="J10" s="72" t="s">
        <v>486</v>
      </c>
    </row>
    <row r="11" spans="1:12" ht="15" thickBot="1" x14ac:dyDescent="0.4">
      <c r="A11" s="91" t="s">
        <v>368</v>
      </c>
      <c r="B11" s="7">
        <v>4325</v>
      </c>
      <c r="C11" s="72">
        <v>0.02</v>
      </c>
      <c r="D11" s="7">
        <v>4205</v>
      </c>
      <c r="E11" s="7">
        <v>2995</v>
      </c>
      <c r="F11" s="7">
        <v>1095</v>
      </c>
      <c r="G11" s="7">
        <v>110</v>
      </c>
      <c r="H11" s="72">
        <v>0.71</v>
      </c>
      <c r="I11" s="72">
        <v>0.26</v>
      </c>
      <c r="J11" s="72">
        <v>0.03</v>
      </c>
    </row>
    <row r="12" spans="1:12" ht="15" thickBot="1" x14ac:dyDescent="0.4">
      <c r="A12" s="91" t="s">
        <v>369</v>
      </c>
      <c r="B12" s="7">
        <v>430</v>
      </c>
      <c r="C12" s="72">
        <v>0.02</v>
      </c>
      <c r="D12" s="7">
        <v>400</v>
      </c>
      <c r="E12" s="7">
        <v>295</v>
      </c>
      <c r="F12" s="7">
        <v>100</v>
      </c>
      <c r="G12" s="7">
        <v>10</v>
      </c>
      <c r="H12" s="72">
        <v>0.73</v>
      </c>
      <c r="I12" s="72">
        <v>0.25</v>
      </c>
      <c r="J12" s="72">
        <v>0.02</v>
      </c>
    </row>
    <row r="13" spans="1:12" ht="15" thickBot="1" x14ac:dyDescent="0.4">
      <c r="A13" s="91" t="s">
        <v>370</v>
      </c>
      <c r="B13" s="7">
        <v>3320</v>
      </c>
      <c r="C13" s="72">
        <v>0.03</v>
      </c>
      <c r="D13" s="7">
        <v>3085</v>
      </c>
      <c r="E13" s="7">
        <v>2240</v>
      </c>
      <c r="F13" s="7">
        <v>710</v>
      </c>
      <c r="G13" s="7">
        <v>135</v>
      </c>
      <c r="H13" s="72">
        <v>0.73</v>
      </c>
      <c r="I13" s="72">
        <v>0.23</v>
      </c>
      <c r="J13" s="72">
        <v>0.04</v>
      </c>
    </row>
    <row r="14" spans="1:12" ht="15" thickBot="1" x14ac:dyDescent="0.4">
      <c r="A14" s="91" t="s">
        <v>371</v>
      </c>
      <c r="B14" s="7">
        <v>3090</v>
      </c>
      <c r="C14" s="72">
        <v>0.03</v>
      </c>
      <c r="D14" s="7">
        <v>2990</v>
      </c>
      <c r="E14" s="7">
        <v>2105</v>
      </c>
      <c r="F14" s="7">
        <v>830</v>
      </c>
      <c r="G14" s="7">
        <v>55</v>
      </c>
      <c r="H14" s="72">
        <v>0.7</v>
      </c>
      <c r="I14" s="72">
        <v>0.28000000000000003</v>
      </c>
      <c r="J14" s="72">
        <v>0.02</v>
      </c>
    </row>
    <row r="15" spans="1:12" ht="15" thickBot="1" x14ac:dyDescent="0.4">
      <c r="A15" s="91" t="s">
        <v>372</v>
      </c>
      <c r="B15" s="7">
        <v>245</v>
      </c>
      <c r="C15" s="72">
        <v>0.02</v>
      </c>
      <c r="D15" s="7">
        <v>440</v>
      </c>
      <c r="E15" s="7">
        <v>280</v>
      </c>
      <c r="F15" s="7">
        <v>150</v>
      </c>
      <c r="G15" s="7">
        <v>10</v>
      </c>
      <c r="H15" s="72">
        <v>0.63</v>
      </c>
      <c r="I15" s="72">
        <v>0.34</v>
      </c>
      <c r="J15" s="72">
        <v>0.02</v>
      </c>
    </row>
    <row r="16" spans="1:12" ht="15" thickBot="1" x14ac:dyDescent="0.4">
      <c r="A16" s="91" t="s">
        <v>373</v>
      </c>
      <c r="B16" s="7">
        <v>7085</v>
      </c>
      <c r="C16" s="72">
        <v>0.03</v>
      </c>
      <c r="D16" s="7">
        <v>6915</v>
      </c>
      <c r="E16" s="7">
        <v>4920</v>
      </c>
      <c r="F16" s="7">
        <v>1790</v>
      </c>
      <c r="G16" s="7">
        <v>210</v>
      </c>
      <c r="H16" s="72">
        <v>0.71</v>
      </c>
      <c r="I16" s="72">
        <v>0.26</v>
      </c>
      <c r="J16" s="72">
        <v>0.03</v>
      </c>
    </row>
    <row r="17" spans="1:10" ht="15" thickBot="1" x14ac:dyDescent="0.4">
      <c r="A17" s="91" t="s">
        <v>144</v>
      </c>
      <c r="B17" s="7">
        <v>1315</v>
      </c>
      <c r="C17" s="72">
        <v>7.0000000000000007E-2</v>
      </c>
      <c r="D17" s="7">
        <v>1220</v>
      </c>
      <c r="E17" s="7">
        <v>900</v>
      </c>
      <c r="F17" s="7">
        <v>305</v>
      </c>
      <c r="G17" s="7">
        <v>15</v>
      </c>
      <c r="H17" s="72">
        <v>0.74</v>
      </c>
      <c r="I17" s="72">
        <v>0.25</v>
      </c>
      <c r="J17" s="72">
        <v>0.01</v>
      </c>
    </row>
    <row r="18" spans="1:10" ht="15" thickBot="1" x14ac:dyDescent="0.4">
      <c r="A18" s="91" t="s">
        <v>145</v>
      </c>
      <c r="B18" s="7">
        <v>9465</v>
      </c>
      <c r="C18" s="72">
        <v>7.0000000000000007E-2</v>
      </c>
      <c r="D18" s="7">
        <v>8865</v>
      </c>
      <c r="E18" s="7">
        <v>6300</v>
      </c>
      <c r="F18" s="7">
        <v>2155</v>
      </c>
      <c r="G18" s="7">
        <v>410</v>
      </c>
      <c r="H18" s="72">
        <v>0.71</v>
      </c>
      <c r="I18" s="72">
        <v>0.24</v>
      </c>
      <c r="J18" s="72">
        <v>0.05</v>
      </c>
    </row>
    <row r="19" spans="1:10" ht="15" thickBot="1" x14ac:dyDescent="0.4">
      <c r="A19" s="91" t="s">
        <v>146</v>
      </c>
      <c r="B19" s="7">
        <v>8485</v>
      </c>
      <c r="C19" s="72">
        <v>7.0000000000000007E-2</v>
      </c>
      <c r="D19" s="7">
        <v>8125</v>
      </c>
      <c r="E19" s="7">
        <v>5820</v>
      </c>
      <c r="F19" s="7">
        <v>2200</v>
      </c>
      <c r="G19" s="7">
        <v>105</v>
      </c>
      <c r="H19" s="72">
        <v>0.72</v>
      </c>
      <c r="I19" s="72">
        <v>0.27</v>
      </c>
      <c r="J19" s="72">
        <v>0.01</v>
      </c>
    </row>
    <row r="20" spans="1:10" ht="15" thickBot="1" x14ac:dyDescent="0.4">
      <c r="A20" s="91" t="s">
        <v>147</v>
      </c>
      <c r="B20" s="7">
        <v>785</v>
      </c>
      <c r="C20" s="72">
        <v>0.08</v>
      </c>
      <c r="D20" s="7">
        <v>1285</v>
      </c>
      <c r="E20" s="7">
        <v>860</v>
      </c>
      <c r="F20" s="7">
        <v>395</v>
      </c>
      <c r="G20" s="7">
        <v>30</v>
      </c>
      <c r="H20" s="72">
        <v>0.67</v>
      </c>
      <c r="I20" s="72">
        <v>0.31</v>
      </c>
      <c r="J20" s="72">
        <v>0.02</v>
      </c>
    </row>
    <row r="21" spans="1:10" ht="15" thickBot="1" x14ac:dyDescent="0.4">
      <c r="A21" s="91" t="s">
        <v>255</v>
      </c>
      <c r="B21" s="7">
        <v>20045</v>
      </c>
      <c r="C21" s="72">
        <v>7.0000000000000007E-2</v>
      </c>
      <c r="D21" s="7">
        <v>19490</v>
      </c>
      <c r="E21" s="7">
        <v>13880</v>
      </c>
      <c r="F21" s="7">
        <v>5050</v>
      </c>
      <c r="G21" s="7">
        <v>560</v>
      </c>
      <c r="H21" s="72">
        <v>0.71</v>
      </c>
      <c r="I21" s="72">
        <v>0.26</v>
      </c>
      <c r="J21" s="72">
        <v>0.03</v>
      </c>
    </row>
    <row r="22" spans="1:10" ht="15" thickBot="1" x14ac:dyDescent="0.4">
      <c r="A22" s="91" t="s">
        <v>374</v>
      </c>
      <c r="B22" s="7">
        <v>885</v>
      </c>
      <c r="C22" s="72">
        <v>0.05</v>
      </c>
      <c r="D22" s="7">
        <v>795</v>
      </c>
      <c r="E22" s="7">
        <v>555</v>
      </c>
      <c r="F22" s="7">
        <v>215</v>
      </c>
      <c r="G22" s="7">
        <v>20</v>
      </c>
      <c r="H22" s="72">
        <v>0.7</v>
      </c>
      <c r="I22" s="72">
        <v>0.27</v>
      </c>
      <c r="J22" s="72">
        <v>0.03</v>
      </c>
    </row>
    <row r="23" spans="1:10" ht="15" thickBot="1" x14ac:dyDescent="0.4">
      <c r="A23" s="91" t="s">
        <v>375</v>
      </c>
      <c r="B23" s="7">
        <v>6290</v>
      </c>
      <c r="C23" s="72">
        <v>0.05</v>
      </c>
      <c r="D23" s="7">
        <v>5940</v>
      </c>
      <c r="E23" s="7">
        <v>4260</v>
      </c>
      <c r="F23" s="7">
        <v>1420</v>
      </c>
      <c r="G23" s="7">
        <v>265</v>
      </c>
      <c r="H23" s="72">
        <v>0.72</v>
      </c>
      <c r="I23" s="72">
        <v>0.24</v>
      </c>
      <c r="J23" s="72">
        <v>0.04</v>
      </c>
    </row>
    <row r="24" spans="1:10" ht="15" thickBot="1" x14ac:dyDescent="0.4">
      <c r="A24" s="91" t="s">
        <v>376</v>
      </c>
      <c r="B24" s="7">
        <v>5960</v>
      </c>
      <c r="C24" s="72">
        <v>0.05</v>
      </c>
      <c r="D24" s="7">
        <v>5690</v>
      </c>
      <c r="E24" s="7">
        <v>4080</v>
      </c>
      <c r="F24" s="7">
        <v>1505</v>
      </c>
      <c r="G24" s="7">
        <v>105</v>
      </c>
      <c r="H24" s="72">
        <v>0.72</v>
      </c>
      <c r="I24" s="72">
        <v>0.26</v>
      </c>
      <c r="J24" s="72">
        <v>0.02</v>
      </c>
    </row>
    <row r="25" spans="1:10" ht="15" thickBot="1" x14ac:dyDescent="0.4">
      <c r="A25" s="91" t="s">
        <v>377</v>
      </c>
      <c r="B25" s="7">
        <v>500</v>
      </c>
      <c r="C25" s="72">
        <v>0.05</v>
      </c>
      <c r="D25" s="7">
        <v>835</v>
      </c>
      <c r="E25" s="7">
        <v>550</v>
      </c>
      <c r="F25" s="7">
        <v>275</v>
      </c>
      <c r="G25" s="7">
        <v>10</v>
      </c>
      <c r="H25" s="72">
        <v>0.66</v>
      </c>
      <c r="I25" s="72">
        <v>0.33</v>
      </c>
      <c r="J25" s="72">
        <v>0.01</v>
      </c>
    </row>
    <row r="26" spans="1:10" ht="15" thickBot="1" x14ac:dyDescent="0.4">
      <c r="A26" s="91" t="s">
        <v>378</v>
      </c>
      <c r="B26" s="7">
        <v>13635</v>
      </c>
      <c r="C26" s="72">
        <v>0.05</v>
      </c>
      <c r="D26" s="7">
        <v>13260</v>
      </c>
      <c r="E26" s="7">
        <v>9450</v>
      </c>
      <c r="F26" s="7">
        <v>3415</v>
      </c>
      <c r="G26" s="7">
        <v>400</v>
      </c>
      <c r="H26" s="72">
        <v>0.71</v>
      </c>
      <c r="I26" s="72">
        <v>0.26</v>
      </c>
      <c r="J26" s="72">
        <v>0.03</v>
      </c>
    </row>
    <row r="27" spans="1:10" ht="15" thickBot="1" x14ac:dyDescent="0.4">
      <c r="A27" s="91" t="s">
        <v>379</v>
      </c>
      <c r="B27" s="7">
        <v>1420</v>
      </c>
      <c r="C27" s="72">
        <v>7.0000000000000007E-2</v>
      </c>
      <c r="D27" s="7">
        <v>1285</v>
      </c>
      <c r="E27" s="7">
        <v>795</v>
      </c>
      <c r="F27" s="7">
        <v>465</v>
      </c>
      <c r="G27" s="7">
        <v>25</v>
      </c>
      <c r="H27" s="72">
        <v>0.62</v>
      </c>
      <c r="I27" s="72">
        <v>0.36</v>
      </c>
      <c r="J27" s="72">
        <v>0.02</v>
      </c>
    </row>
    <row r="28" spans="1:10" ht="15" thickBot="1" x14ac:dyDescent="0.4">
      <c r="A28" s="91" t="s">
        <v>380</v>
      </c>
      <c r="B28" s="7">
        <v>7845</v>
      </c>
      <c r="C28" s="72">
        <v>0.06</v>
      </c>
      <c r="D28" s="7">
        <v>7360</v>
      </c>
      <c r="E28" s="7">
        <v>5150</v>
      </c>
      <c r="F28" s="7">
        <v>1900</v>
      </c>
      <c r="G28" s="7">
        <v>310</v>
      </c>
      <c r="H28" s="72">
        <v>0.7</v>
      </c>
      <c r="I28" s="72">
        <v>0.26</v>
      </c>
      <c r="J28" s="72">
        <v>0.04</v>
      </c>
    </row>
    <row r="29" spans="1:10" ht="15" thickBot="1" x14ac:dyDescent="0.4">
      <c r="A29" s="91" t="s">
        <v>381</v>
      </c>
      <c r="B29" s="7">
        <v>8915</v>
      </c>
      <c r="C29" s="72">
        <v>0.08</v>
      </c>
      <c r="D29" s="7">
        <v>8320</v>
      </c>
      <c r="E29" s="7">
        <v>5720</v>
      </c>
      <c r="F29" s="7">
        <v>2460</v>
      </c>
      <c r="G29" s="7">
        <v>140</v>
      </c>
      <c r="H29" s="72">
        <v>0.69</v>
      </c>
      <c r="I29" s="72">
        <v>0.3</v>
      </c>
      <c r="J29" s="72">
        <v>0.02</v>
      </c>
    </row>
    <row r="30" spans="1:10" ht="15" thickBot="1" x14ac:dyDescent="0.4">
      <c r="A30" s="91" t="s">
        <v>382</v>
      </c>
      <c r="B30" s="7">
        <v>760</v>
      </c>
      <c r="C30" s="72">
        <v>0.08</v>
      </c>
      <c r="D30" s="7">
        <v>1320</v>
      </c>
      <c r="E30" s="7">
        <v>820</v>
      </c>
      <c r="F30" s="7">
        <v>475</v>
      </c>
      <c r="G30" s="7">
        <v>20</v>
      </c>
      <c r="H30" s="72">
        <v>0.62</v>
      </c>
      <c r="I30" s="72">
        <v>0.36</v>
      </c>
      <c r="J30" s="72">
        <v>0.02</v>
      </c>
    </row>
    <row r="31" spans="1:10" ht="15" thickBot="1" x14ac:dyDescent="0.4">
      <c r="A31" s="91" t="s">
        <v>383</v>
      </c>
      <c r="B31" s="7">
        <v>18940</v>
      </c>
      <c r="C31" s="72">
        <v>7.0000000000000007E-2</v>
      </c>
      <c r="D31" s="7">
        <v>18290</v>
      </c>
      <c r="E31" s="7">
        <v>12485</v>
      </c>
      <c r="F31" s="7">
        <v>5305</v>
      </c>
      <c r="G31" s="7">
        <v>500</v>
      </c>
      <c r="H31" s="72">
        <v>0.68</v>
      </c>
      <c r="I31" s="72">
        <v>0.28999999999999998</v>
      </c>
      <c r="J31" s="72">
        <v>0.03</v>
      </c>
    </row>
    <row r="32" spans="1:10" ht="29.5" thickBot="1" x14ac:dyDescent="0.4">
      <c r="A32" s="91" t="s">
        <v>384</v>
      </c>
      <c r="B32" s="7">
        <v>4480</v>
      </c>
      <c r="C32" s="72">
        <v>0.23</v>
      </c>
      <c r="D32" s="7">
        <v>4080</v>
      </c>
      <c r="E32" s="7">
        <v>3040</v>
      </c>
      <c r="F32" s="7">
        <v>950</v>
      </c>
      <c r="G32" s="7">
        <v>90</v>
      </c>
      <c r="H32" s="72">
        <v>0.75</v>
      </c>
      <c r="I32" s="72">
        <v>0.23</v>
      </c>
      <c r="J32" s="72">
        <v>0.02</v>
      </c>
    </row>
    <row r="33" spans="1:10" ht="29.5" thickBot="1" x14ac:dyDescent="0.4">
      <c r="A33" s="91" t="s">
        <v>385</v>
      </c>
      <c r="B33" s="7">
        <v>33645</v>
      </c>
      <c r="C33" s="72">
        <v>0.26</v>
      </c>
      <c r="D33" s="7">
        <v>31610</v>
      </c>
      <c r="E33" s="7">
        <v>21575</v>
      </c>
      <c r="F33" s="7">
        <v>8645</v>
      </c>
      <c r="G33" s="7">
        <v>1390</v>
      </c>
      <c r="H33" s="72">
        <v>0.68</v>
      </c>
      <c r="I33" s="72">
        <v>0.27</v>
      </c>
      <c r="J33" s="72">
        <v>0.04</v>
      </c>
    </row>
    <row r="34" spans="1:10" ht="29.5" thickBot="1" x14ac:dyDescent="0.4">
      <c r="A34" s="91" t="s">
        <v>386</v>
      </c>
      <c r="B34" s="7">
        <v>30425</v>
      </c>
      <c r="C34" s="72">
        <v>0.26</v>
      </c>
      <c r="D34" s="7">
        <v>28965</v>
      </c>
      <c r="E34" s="7">
        <v>19765</v>
      </c>
      <c r="F34" s="7">
        <v>8635</v>
      </c>
      <c r="G34" s="7">
        <v>565</v>
      </c>
      <c r="H34" s="72">
        <v>0.68</v>
      </c>
      <c r="I34" s="72">
        <v>0.3</v>
      </c>
      <c r="J34" s="72">
        <v>0.02</v>
      </c>
    </row>
    <row r="35" spans="1:10" ht="29.5" thickBot="1" x14ac:dyDescent="0.4">
      <c r="A35" s="91" t="s">
        <v>387</v>
      </c>
      <c r="B35" s="7">
        <v>2640</v>
      </c>
      <c r="C35" s="72">
        <v>0.26</v>
      </c>
      <c r="D35" s="7">
        <v>4500</v>
      </c>
      <c r="E35" s="7">
        <v>2815</v>
      </c>
      <c r="F35" s="7">
        <v>1595</v>
      </c>
      <c r="G35" s="7">
        <v>90</v>
      </c>
      <c r="H35" s="72">
        <v>0.63</v>
      </c>
      <c r="I35" s="72">
        <v>0.35</v>
      </c>
      <c r="J35" s="72">
        <v>0.02</v>
      </c>
    </row>
    <row r="36" spans="1:10" ht="15" thickBot="1" x14ac:dyDescent="0.4">
      <c r="A36" s="91" t="s">
        <v>388</v>
      </c>
      <c r="B36" s="7">
        <v>71190</v>
      </c>
      <c r="C36" s="72">
        <v>0.26</v>
      </c>
      <c r="D36" s="7">
        <v>69160</v>
      </c>
      <c r="E36" s="7">
        <v>47195</v>
      </c>
      <c r="F36" s="7">
        <v>19830</v>
      </c>
      <c r="G36" s="7">
        <v>2135</v>
      </c>
      <c r="H36" s="72">
        <v>0.68</v>
      </c>
      <c r="I36" s="72">
        <v>0.28999999999999998</v>
      </c>
      <c r="J36" s="72">
        <v>0.03</v>
      </c>
    </row>
    <row r="37" spans="1:10" ht="15" thickBot="1" x14ac:dyDescent="0.4">
      <c r="A37" s="91" t="s">
        <v>152</v>
      </c>
      <c r="B37" s="7">
        <v>870</v>
      </c>
      <c r="C37" s="72">
        <v>0.04</v>
      </c>
      <c r="D37" s="7">
        <v>805</v>
      </c>
      <c r="E37" s="7">
        <v>545</v>
      </c>
      <c r="F37" s="7">
        <v>245</v>
      </c>
      <c r="G37" s="7">
        <v>15</v>
      </c>
      <c r="H37" s="72">
        <v>0.68</v>
      </c>
      <c r="I37" s="72">
        <v>0.3</v>
      </c>
      <c r="J37" s="72">
        <v>0.02</v>
      </c>
    </row>
    <row r="38" spans="1:10" ht="15" thickBot="1" x14ac:dyDescent="0.4">
      <c r="A38" s="91" t="s">
        <v>153</v>
      </c>
      <c r="B38" s="7">
        <v>5125</v>
      </c>
      <c r="C38" s="72">
        <v>0.04</v>
      </c>
      <c r="D38" s="7">
        <v>4820</v>
      </c>
      <c r="E38" s="7">
        <v>3400</v>
      </c>
      <c r="F38" s="7">
        <v>1210</v>
      </c>
      <c r="G38" s="7">
        <v>210</v>
      </c>
      <c r="H38" s="72">
        <v>0.71</v>
      </c>
      <c r="I38" s="72">
        <v>0.25</v>
      </c>
      <c r="J38" s="72">
        <v>0.04</v>
      </c>
    </row>
    <row r="39" spans="1:10" ht="15" thickBot="1" x14ac:dyDescent="0.4">
      <c r="A39" s="91" t="s">
        <v>154</v>
      </c>
      <c r="B39" s="7">
        <v>5570</v>
      </c>
      <c r="C39" s="72">
        <v>0.05</v>
      </c>
      <c r="D39" s="7">
        <v>5180</v>
      </c>
      <c r="E39" s="7">
        <v>3620</v>
      </c>
      <c r="F39" s="7">
        <v>1455</v>
      </c>
      <c r="G39" s="7">
        <v>100</v>
      </c>
      <c r="H39" s="72">
        <v>0.7</v>
      </c>
      <c r="I39" s="72">
        <v>0.28000000000000003</v>
      </c>
      <c r="J39" s="72">
        <v>0.02</v>
      </c>
    </row>
    <row r="40" spans="1:10" ht="15" thickBot="1" x14ac:dyDescent="0.4">
      <c r="A40" s="91" t="s">
        <v>155</v>
      </c>
      <c r="B40" s="7">
        <v>445</v>
      </c>
      <c r="C40" s="72">
        <v>0.04</v>
      </c>
      <c r="D40" s="7">
        <v>855</v>
      </c>
      <c r="E40" s="7">
        <v>540</v>
      </c>
      <c r="F40" s="7">
        <v>305</v>
      </c>
      <c r="G40" s="7">
        <v>15</v>
      </c>
      <c r="H40" s="72">
        <v>0.63</v>
      </c>
      <c r="I40" s="72">
        <v>0.36</v>
      </c>
      <c r="J40" s="72">
        <v>0.02</v>
      </c>
    </row>
    <row r="41" spans="1:10" ht="15" thickBot="1" x14ac:dyDescent="0.4">
      <c r="A41" s="91" t="s">
        <v>257</v>
      </c>
      <c r="B41" s="7">
        <v>12015</v>
      </c>
      <c r="C41" s="72">
        <v>0.04</v>
      </c>
      <c r="D41" s="7">
        <v>11660</v>
      </c>
      <c r="E41" s="7">
        <v>8105</v>
      </c>
      <c r="F41" s="7">
        <v>3215</v>
      </c>
      <c r="G41" s="7">
        <v>340</v>
      </c>
      <c r="H41" s="72">
        <v>0.69</v>
      </c>
      <c r="I41" s="72">
        <v>0.28000000000000003</v>
      </c>
      <c r="J41" s="72">
        <v>0.03</v>
      </c>
    </row>
    <row r="42" spans="1:10" ht="15" thickBot="1" x14ac:dyDescent="0.4">
      <c r="A42" s="91" t="s">
        <v>389</v>
      </c>
      <c r="B42" s="7">
        <v>2580</v>
      </c>
      <c r="C42" s="72">
        <v>0.13</v>
      </c>
      <c r="D42" s="7">
        <v>2345</v>
      </c>
      <c r="E42" s="7">
        <v>1695</v>
      </c>
      <c r="F42" s="7">
        <v>610</v>
      </c>
      <c r="G42" s="7">
        <v>40</v>
      </c>
      <c r="H42" s="72">
        <v>0.72</v>
      </c>
      <c r="I42" s="72">
        <v>0.26</v>
      </c>
      <c r="J42" s="72">
        <v>0.02</v>
      </c>
    </row>
    <row r="43" spans="1:10" ht="15" thickBot="1" x14ac:dyDescent="0.4">
      <c r="A43" s="91" t="s">
        <v>390</v>
      </c>
      <c r="B43" s="7">
        <v>17155</v>
      </c>
      <c r="C43" s="72">
        <v>0.13</v>
      </c>
      <c r="D43" s="7">
        <v>16225</v>
      </c>
      <c r="E43" s="7">
        <v>11340</v>
      </c>
      <c r="F43" s="7">
        <v>4160</v>
      </c>
      <c r="G43" s="7">
        <v>725</v>
      </c>
      <c r="H43" s="72">
        <v>0.7</v>
      </c>
      <c r="I43" s="72">
        <v>0.26</v>
      </c>
      <c r="J43" s="72">
        <v>0.04</v>
      </c>
    </row>
    <row r="44" spans="1:10" ht="15" thickBot="1" x14ac:dyDescent="0.4">
      <c r="A44" s="91" t="s">
        <v>391</v>
      </c>
      <c r="B44" s="7">
        <v>16400</v>
      </c>
      <c r="C44" s="72">
        <v>0.14000000000000001</v>
      </c>
      <c r="D44" s="7">
        <v>15590</v>
      </c>
      <c r="E44" s="7">
        <v>10825</v>
      </c>
      <c r="F44" s="7">
        <v>4490</v>
      </c>
      <c r="G44" s="7">
        <v>270</v>
      </c>
      <c r="H44" s="72">
        <v>0.69</v>
      </c>
      <c r="I44" s="72">
        <v>0.28999999999999998</v>
      </c>
      <c r="J44" s="72">
        <v>0.02</v>
      </c>
    </row>
    <row r="45" spans="1:10" ht="15" thickBot="1" x14ac:dyDescent="0.4">
      <c r="A45" s="91" t="s">
        <v>392</v>
      </c>
      <c r="B45" s="7">
        <v>1460</v>
      </c>
      <c r="C45" s="72">
        <v>0.14000000000000001</v>
      </c>
      <c r="D45" s="7">
        <v>2370</v>
      </c>
      <c r="E45" s="7">
        <v>1535</v>
      </c>
      <c r="F45" s="7">
        <v>780</v>
      </c>
      <c r="G45" s="7">
        <v>55</v>
      </c>
      <c r="H45" s="72">
        <v>0.65</v>
      </c>
      <c r="I45" s="72">
        <v>0.33</v>
      </c>
      <c r="J45" s="72">
        <v>0.02</v>
      </c>
    </row>
    <row r="46" spans="1:10" ht="15" thickBot="1" x14ac:dyDescent="0.4">
      <c r="A46" s="91" t="s">
        <v>393</v>
      </c>
      <c r="B46" s="7">
        <v>37590</v>
      </c>
      <c r="C46" s="72">
        <v>0.14000000000000001</v>
      </c>
      <c r="D46" s="7">
        <v>36530</v>
      </c>
      <c r="E46" s="7">
        <v>25395</v>
      </c>
      <c r="F46" s="7">
        <v>10040</v>
      </c>
      <c r="G46" s="7">
        <v>1095</v>
      </c>
      <c r="H46" s="72">
        <v>0.7</v>
      </c>
      <c r="I46" s="72">
        <v>0.27</v>
      </c>
      <c r="J46" s="72">
        <v>0.03</v>
      </c>
    </row>
    <row r="47" spans="1:10" ht="15" thickBot="1" x14ac:dyDescent="0.4">
      <c r="A47" s="91" t="s">
        <v>394</v>
      </c>
      <c r="B47" s="7">
        <v>2345</v>
      </c>
      <c r="C47" s="72">
        <v>0.12</v>
      </c>
      <c r="D47" s="7">
        <v>2135</v>
      </c>
      <c r="E47" s="7">
        <v>1505</v>
      </c>
      <c r="F47" s="7">
        <v>590</v>
      </c>
      <c r="G47" s="7">
        <v>40</v>
      </c>
      <c r="H47" s="72">
        <v>0.71</v>
      </c>
      <c r="I47" s="72">
        <v>0.28000000000000003</v>
      </c>
      <c r="J47" s="72">
        <v>0.02</v>
      </c>
    </row>
    <row r="48" spans="1:10" ht="15" thickBot="1" x14ac:dyDescent="0.4">
      <c r="A48" s="91" t="s">
        <v>395</v>
      </c>
      <c r="B48" s="7">
        <v>16275</v>
      </c>
      <c r="C48" s="72">
        <v>0.13</v>
      </c>
      <c r="D48" s="7">
        <v>15245</v>
      </c>
      <c r="E48" s="7">
        <v>10645</v>
      </c>
      <c r="F48" s="7">
        <v>3985</v>
      </c>
      <c r="G48" s="7">
        <v>620</v>
      </c>
      <c r="H48" s="72">
        <v>0.7</v>
      </c>
      <c r="I48" s="72">
        <v>0.26</v>
      </c>
      <c r="J48" s="72">
        <v>0.04</v>
      </c>
    </row>
    <row r="49" spans="1:10" ht="15" thickBot="1" x14ac:dyDescent="0.4">
      <c r="A49" s="91" t="s">
        <v>396</v>
      </c>
      <c r="B49" s="7">
        <v>16540</v>
      </c>
      <c r="C49" s="72">
        <v>0.14000000000000001</v>
      </c>
      <c r="D49" s="7">
        <v>15630</v>
      </c>
      <c r="E49" s="7">
        <v>10800</v>
      </c>
      <c r="F49" s="7">
        <v>4535</v>
      </c>
      <c r="G49" s="7">
        <v>290</v>
      </c>
      <c r="H49" s="72">
        <v>0.69</v>
      </c>
      <c r="I49" s="72">
        <v>0.28999999999999998</v>
      </c>
      <c r="J49" s="72">
        <v>0.02</v>
      </c>
    </row>
    <row r="50" spans="1:10" ht="15" thickBot="1" x14ac:dyDescent="0.4">
      <c r="A50" s="91" t="s">
        <v>397</v>
      </c>
      <c r="B50" s="7">
        <v>1465</v>
      </c>
      <c r="C50" s="72">
        <v>0.14000000000000001</v>
      </c>
      <c r="D50" s="7">
        <v>2515</v>
      </c>
      <c r="E50" s="7">
        <v>1570</v>
      </c>
      <c r="F50" s="7">
        <v>885</v>
      </c>
      <c r="G50" s="7">
        <v>55</v>
      </c>
      <c r="H50" s="72">
        <v>0.63</v>
      </c>
      <c r="I50" s="72">
        <v>0.35</v>
      </c>
      <c r="J50" s="72">
        <v>0.02</v>
      </c>
    </row>
    <row r="51" spans="1:10" ht="15" thickBot="1" x14ac:dyDescent="0.4">
      <c r="A51" s="91" t="s">
        <v>398</v>
      </c>
      <c r="B51" s="7">
        <v>36625</v>
      </c>
      <c r="C51" s="72">
        <v>0.13</v>
      </c>
      <c r="D51" s="7">
        <v>35520</v>
      </c>
      <c r="E51" s="7">
        <v>24520</v>
      </c>
      <c r="F51" s="7">
        <v>9995</v>
      </c>
      <c r="G51" s="7">
        <v>1005</v>
      </c>
      <c r="H51" s="72">
        <v>0.69</v>
      </c>
      <c r="I51" s="72">
        <v>0.28000000000000003</v>
      </c>
      <c r="J51" s="72">
        <v>0.03</v>
      </c>
    </row>
    <row r="52" spans="1:10" ht="15" thickBot="1" x14ac:dyDescent="0.4">
      <c r="A52" s="91" t="s">
        <v>172</v>
      </c>
      <c r="B52" s="7">
        <v>40</v>
      </c>
      <c r="C52" s="72">
        <v>0</v>
      </c>
      <c r="D52" s="7">
        <v>30</v>
      </c>
      <c r="E52" s="7">
        <v>0</v>
      </c>
      <c r="F52" s="7" t="s">
        <v>486</v>
      </c>
      <c r="G52" s="7">
        <v>30</v>
      </c>
      <c r="H52" s="72">
        <v>0</v>
      </c>
      <c r="I52" s="72" t="s">
        <v>486</v>
      </c>
      <c r="J52" s="72" t="s">
        <v>486</v>
      </c>
    </row>
    <row r="53" spans="1:10" ht="15" thickBot="1" x14ac:dyDescent="0.4">
      <c r="A53" s="91" t="s">
        <v>173</v>
      </c>
      <c r="B53" s="7">
        <v>155</v>
      </c>
      <c r="C53" s="72">
        <v>0</v>
      </c>
      <c r="D53" s="7">
        <v>135</v>
      </c>
      <c r="E53" s="7" t="s">
        <v>486</v>
      </c>
      <c r="F53" s="7">
        <v>5</v>
      </c>
      <c r="G53" s="7">
        <v>130</v>
      </c>
      <c r="H53" s="72" t="s">
        <v>486</v>
      </c>
      <c r="I53" s="72" t="s">
        <v>486</v>
      </c>
      <c r="J53" s="72">
        <v>0.96</v>
      </c>
    </row>
    <row r="54" spans="1:10" ht="15" thickBot="1" x14ac:dyDescent="0.4">
      <c r="A54" s="91" t="s">
        <v>174</v>
      </c>
      <c r="B54" s="7">
        <v>205</v>
      </c>
      <c r="C54" s="72">
        <v>0</v>
      </c>
      <c r="D54" s="7">
        <v>60</v>
      </c>
      <c r="E54" s="7">
        <v>5</v>
      </c>
      <c r="F54" s="7" t="s">
        <v>486</v>
      </c>
      <c r="G54" s="7">
        <v>55</v>
      </c>
      <c r="H54" s="72" t="s">
        <v>486</v>
      </c>
      <c r="I54" s="72" t="s">
        <v>486</v>
      </c>
      <c r="J54" s="72">
        <v>0.92</v>
      </c>
    </row>
    <row r="55" spans="1:10" ht="15" thickBot="1" x14ac:dyDescent="0.4">
      <c r="A55" s="91" t="s">
        <v>175</v>
      </c>
      <c r="B55" s="7">
        <v>45</v>
      </c>
      <c r="C55" s="72">
        <v>0</v>
      </c>
      <c r="D55" s="7">
        <v>10</v>
      </c>
      <c r="E55" s="7">
        <v>0</v>
      </c>
      <c r="F55" s="7">
        <v>0</v>
      </c>
      <c r="G55" s="7">
        <v>10</v>
      </c>
      <c r="H55" s="72">
        <v>0</v>
      </c>
      <c r="I55" s="72">
        <v>0</v>
      </c>
      <c r="J55" s="72">
        <v>1</v>
      </c>
    </row>
    <row r="56" spans="1:10" ht="15" thickBot="1" x14ac:dyDescent="0.4">
      <c r="A56" s="91" t="s">
        <v>262</v>
      </c>
      <c r="B56" s="7">
        <v>440</v>
      </c>
      <c r="C56" s="72">
        <v>0</v>
      </c>
      <c r="D56" s="7">
        <v>235</v>
      </c>
      <c r="E56" s="7">
        <v>5</v>
      </c>
      <c r="F56" s="7">
        <v>5</v>
      </c>
      <c r="G56" s="7">
        <v>225</v>
      </c>
      <c r="H56" s="72">
        <v>0.03</v>
      </c>
      <c r="I56" s="72">
        <v>0.02</v>
      </c>
      <c r="J56" s="72">
        <v>0.95</v>
      </c>
    </row>
    <row r="57" spans="1:10" ht="15" thickBot="1" x14ac:dyDescent="0.4">
      <c r="A57" s="91" t="s">
        <v>276</v>
      </c>
      <c r="B57" s="7">
        <v>10025</v>
      </c>
      <c r="C57" s="72">
        <v>0.04</v>
      </c>
      <c r="D57" s="7">
        <v>10005</v>
      </c>
      <c r="E57" s="7">
        <v>140</v>
      </c>
      <c r="F57" s="7">
        <v>9750</v>
      </c>
      <c r="G57" s="7">
        <v>115</v>
      </c>
      <c r="H57" s="72">
        <v>0.01</v>
      </c>
      <c r="I57" s="72">
        <v>0.97</v>
      </c>
      <c r="J57" s="72">
        <v>0.01</v>
      </c>
    </row>
    <row r="58" spans="1:10" ht="15" thickBot="1" x14ac:dyDescent="0.4">
      <c r="A58" s="91" t="s">
        <v>237</v>
      </c>
      <c r="B58" s="7">
        <v>1895</v>
      </c>
      <c r="C58" s="72">
        <v>0.1</v>
      </c>
      <c r="D58" s="7">
        <v>1860</v>
      </c>
      <c r="E58" s="7">
        <v>10</v>
      </c>
      <c r="F58" s="7">
        <v>1845</v>
      </c>
      <c r="G58" s="7">
        <v>5</v>
      </c>
      <c r="H58" s="72">
        <v>0</v>
      </c>
      <c r="I58" s="72">
        <v>0.99</v>
      </c>
      <c r="J58" s="72">
        <v>0</v>
      </c>
    </row>
    <row r="59" spans="1:10" ht="15" thickBot="1" x14ac:dyDescent="0.4">
      <c r="A59" s="91" t="s">
        <v>238</v>
      </c>
      <c r="B59" s="7">
        <v>6220</v>
      </c>
      <c r="C59" s="72">
        <v>0.05</v>
      </c>
      <c r="D59" s="7">
        <v>6170</v>
      </c>
      <c r="E59" s="7">
        <v>50</v>
      </c>
      <c r="F59" s="7">
        <v>6015</v>
      </c>
      <c r="G59" s="7">
        <v>105</v>
      </c>
      <c r="H59" s="72">
        <v>0.01</v>
      </c>
      <c r="I59" s="72">
        <v>0.98</v>
      </c>
      <c r="J59" s="72">
        <v>0.02</v>
      </c>
    </row>
    <row r="60" spans="1:10" ht="15" thickBot="1" x14ac:dyDescent="0.4">
      <c r="A60" s="91" t="s">
        <v>239</v>
      </c>
      <c r="B60" s="7">
        <v>1875</v>
      </c>
      <c r="C60" s="72">
        <v>0.02</v>
      </c>
      <c r="D60" s="7">
        <v>1945</v>
      </c>
      <c r="E60" s="7">
        <v>75</v>
      </c>
      <c r="F60" s="7">
        <v>1865</v>
      </c>
      <c r="G60" s="7">
        <v>5</v>
      </c>
      <c r="H60" s="72">
        <v>0.04</v>
      </c>
      <c r="I60" s="72">
        <v>0.96</v>
      </c>
      <c r="J60" s="72">
        <v>0</v>
      </c>
    </row>
    <row r="61" spans="1:10" ht="15" thickBot="1" x14ac:dyDescent="0.4">
      <c r="A61" s="91" t="s">
        <v>240</v>
      </c>
      <c r="B61" s="7">
        <v>30</v>
      </c>
      <c r="C61" s="72">
        <v>0</v>
      </c>
      <c r="D61" s="7">
        <v>30</v>
      </c>
      <c r="E61" s="7">
        <v>5</v>
      </c>
      <c r="F61" s="7">
        <v>25</v>
      </c>
      <c r="G61" s="7" t="s">
        <v>486</v>
      </c>
      <c r="H61" s="72" t="s">
        <v>486</v>
      </c>
      <c r="I61" s="72">
        <v>0.84</v>
      </c>
      <c r="J61" s="72" t="s">
        <v>486</v>
      </c>
    </row>
    <row r="62" spans="1:10" ht="15" thickBot="1" x14ac:dyDescent="0.4">
      <c r="A62" s="91" t="s">
        <v>399</v>
      </c>
      <c r="B62" s="7">
        <v>60</v>
      </c>
      <c r="C62" s="72">
        <v>0</v>
      </c>
      <c r="D62" s="7">
        <v>55</v>
      </c>
      <c r="E62" s="7">
        <v>30</v>
      </c>
      <c r="F62" s="7">
        <v>25</v>
      </c>
      <c r="G62" s="7">
        <v>0</v>
      </c>
      <c r="H62" s="72">
        <v>0.51</v>
      </c>
      <c r="I62" s="72">
        <v>0.49</v>
      </c>
      <c r="J62" s="72">
        <v>0</v>
      </c>
    </row>
    <row r="63" spans="1:10" ht="15" thickBot="1" x14ac:dyDescent="0.4">
      <c r="A63" s="91" t="s">
        <v>400</v>
      </c>
      <c r="B63" s="7">
        <v>215</v>
      </c>
      <c r="C63" s="72">
        <v>0</v>
      </c>
      <c r="D63" s="7">
        <v>205</v>
      </c>
      <c r="E63" s="7">
        <v>140</v>
      </c>
      <c r="F63" s="7">
        <v>55</v>
      </c>
      <c r="G63" s="7">
        <v>10</v>
      </c>
      <c r="H63" s="72">
        <v>0.69</v>
      </c>
      <c r="I63" s="72">
        <v>0.27</v>
      </c>
      <c r="J63" s="72">
        <v>0.04</v>
      </c>
    </row>
    <row r="64" spans="1:10" ht="15" thickBot="1" x14ac:dyDescent="0.4">
      <c r="A64" s="91" t="s">
        <v>401</v>
      </c>
      <c r="B64" s="7">
        <v>285</v>
      </c>
      <c r="C64" s="72">
        <v>0</v>
      </c>
      <c r="D64" s="7">
        <v>270</v>
      </c>
      <c r="E64" s="7">
        <v>180</v>
      </c>
      <c r="F64" s="7">
        <v>85</v>
      </c>
      <c r="G64" s="7">
        <v>5</v>
      </c>
      <c r="H64" s="72">
        <v>0.67</v>
      </c>
      <c r="I64" s="72">
        <v>0.32</v>
      </c>
      <c r="J64" s="72">
        <v>0.01</v>
      </c>
    </row>
    <row r="65" spans="1:10" ht="15" thickBot="1" x14ac:dyDescent="0.4">
      <c r="A65" s="91" t="s">
        <v>402</v>
      </c>
      <c r="B65" s="7">
        <v>10</v>
      </c>
      <c r="C65" s="72">
        <v>0</v>
      </c>
      <c r="D65" s="7">
        <v>40</v>
      </c>
      <c r="E65" s="7">
        <v>20</v>
      </c>
      <c r="F65" s="7">
        <v>20</v>
      </c>
      <c r="G65" s="7" t="s">
        <v>486</v>
      </c>
      <c r="H65" s="72" t="s">
        <v>486</v>
      </c>
      <c r="I65" s="72">
        <v>0.51</v>
      </c>
      <c r="J65" s="72" t="s">
        <v>486</v>
      </c>
    </row>
    <row r="66" spans="1:10" ht="15" thickBot="1" x14ac:dyDescent="0.4">
      <c r="A66" s="91" t="s">
        <v>403</v>
      </c>
      <c r="B66" s="7">
        <v>575</v>
      </c>
      <c r="C66" s="72">
        <v>0</v>
      </c>
      <c r="D66" s="7">
        <v>565</v>
      </c>
      <c r="E66" s="7">
        <v>365</v>
      </c>
      <c r="F66" s="7">
        <v>190</v>
      </c>
      <c r="G66" s="7">
        <v>10</v>
      </c>
      <c r="H66" s="72">
        <v>0.65</v>
      </c>
      <c r="I66" s="72">
        <v>0.33</v>
      </c>
      <c r="J66" s="72">
        <v>0.02</v>
      </c>
    </row>
    <row r="67" spans="1:10" ht="15" thickBot="1" x14ac:dyDescent="0.4">
      <c r="A67" s="91" t="s">
        <v>404</v>
      </c>
      <c r="B67" s="7">
        <v>35</v>
      </c>
      <c r="C67" s="72">
        <v>0</v>
      </c>
      <c r="D67" s="7">
        <v>30</v>
      </c>
      <c r="E67" s="7">
        <v>25</v>
      </c>
      <c r="F67" s="7">
        <v>5</v>
      </c>
      <c r="G67" s="7" t="s">
        <v>486</v>
      </c>
      <c r="H67" s="72">
        <v>0.74</v>
      </c>
      <c r="I67" s="72" t="s">
        <v>486</v>
      </c>
      <c r="J67" s="72" t="s">
        <v>486</v>
      </c>
    </row>
    <row r="68" spans="1:10" ht="15" thickBot="1" x14ac:dyDescent="0.4">
      <c r="A68" s="91" t="s">
        <v>405</v>
      </c>
      <c r="B68" s="7">
        <v>245</v>
      </c>
      <c r="C68" s="72">
        <v>0</v>
      </c>
      <c r="D68" s="7">
        <v>230</v>
      </c>
      <c r="E68" s="7">
        <v>150</v>
      </c>
      <c r="F68" s="7">
        <v>70</v>
      </c>
      <c r="G68" s="7">
        <v>10</v>
      </c>
      <c r="H68" s="72">
        <v>0.66</v>
      </c>
      <c r="I68" s="72">
        <v>0.3</v>
      </c>
      <c r="J68" s="72">
        <v>0.04</v>
      </c>
    </row>
    <row r="69" spans="1:10" ht="15" thickBot="1" x14ac:dyDescent="0.4">
      <c r="A69" s="91" t="s">
        <v>406</v>
      </c>
      <c r="B69" s="7">
        <v>235</v>
      </c>
      <c r="C69" s="72">
        <v>0</v>
      </c>
      <c r="D69" s="7">
        <v>225</v>
      </c>
      <c r="E69" s="7">
        <v>160</v>
      </c>
      <c r="F69" s="7">
        <v>60</v>
      </c>
      <c r="G69" s="7">
        <v>5</v>
      </c>
      <c r="H69" s="72">
        <v>0.71</v>
      </c>
      <c r="I69" s="72">
        <v>0.27</v>
      </c>
      <c r="J69" s="72">
        <v>0.02</v>
      </c>
    </row>
    <row r="70" spans="1:10" ht="15" thickBot="1" x14ac:dyDescent="0.4">
      <c r="A70" s="91" t="s">
        <v>407</v>
      </c>
      <c r="B70" s="7">
        <v>15</v>
      </c>
      <c r="C70" s="72">
        <v>0</v>
      </c>
      <c r="D70" s="7">
        <v>25</v>
      </c>
      <c r="E70" s="7">
        <v>10</v>
      </c>
      <c r="F70" s="7">
        <v>15</v>
      </c>
      <c r="G70" s="7" t="s">
        <v>486</v>
      </c>
      <c r="H70" s="72" t="s">
        <v>486</v>
      </c>
      <c r="I70" s="72">
        <v>0.52</v>
      </c>
      <c r="J70" s="72" t="s">
        <v>486</v>
      </c>
    </row>
    <row r="71" spans="1:10" ht="15" thickBot="1" x14ac:dyDescent="0.4">
      <c r="A71" s="91" t="s">
        <v>408</v>
      </c>
      <c r="B71" s="7">
        <v>530</v>
      </c>
      <c r="C71" s="72">
        <v>0</v>
      </c>
      <c r="D71" s="7">
        <v>510</v>
      </c>
      <c r="E71" s="7">
        <v>345</v>
      </c>
      <c r="F71" s="7">
        <v>150</v>
      </c>
      <c r="G71" s="7">
        <v>15</v>
      </c>
      <c r="H71" s="72">
        <v>0.67</v>
      </c>
      <c r="I71" s="72">
        <v>0.3</v>
      </c>
      <c r="J71" s="72">
        <v>0.03</v>
      </c>
    </row>
    <row r="72" spans="1:10" ht="15" thickBot="1" x14ac:dyDescent="0.4">
      <c r="A72" s="91" t="s">
        <v>409</v>
      </c>
      <c r="B72" s="7">
        <v>1370</v>
      </c>
      <c r="C72" s="72">
        <v>7.0000000000000007E-2</v>
      </c>
      <c r="D72" s="7">
        <v>1260</v>
      </c>
      <c r="E72" s="7">
        <v>920</v>
      </c>
      <c r="F72" s="7">
        <v>320</v>
      </c>
      <c r="G72" s="7">
        <v>15</v>
      </c>
      <c r="H72" s="72">
        <v>0.73</v>
      </c>
      <c r="I72" s="72">
        <v>0.25</v>
      </c>
      <c r="J72" s="72">
        <v>0.01</v>
      </c>
    </row>
    <row r="73" spans="1:10" ht="15" thickBot="1" x14ac:dyDescent="0.4">
      <c r="A73" s="91" t="s">
        <v>410</v>
      </c>
      <c r="B73" s="7">
        <v>9115</v>
      </c>
      <c r="C73" s="72">
        <v>7.0000000000000007E-2</v>
      </c>
      <c r="D73" s="7">
        <v>8600</v>
      </c>
      <c r="E73" s="7">
        <v>6160</v>
      </c>
      <c r="F73" s="7">
        <v>2085</v>
      </c>
      <c r="G73" s="7">
        <v>355</v>
      </c>
      <c r="H73" s="72">
        <v>0.72</v>
      </c>
      <c r="I73" s="72">
        <v>0.24</v>
      </c>
      <c r="J73" s="72">
        <v>0.04</v>
      </c>
    </row>
    <row r="74" spans="1:10" ht="15" thickBot="1" x14ac:dyDescent="0.4">
      <c r="A74" s="91" t="s">
        <v>411</v>
      </c>
      <c r="B74" s="7">
        <v>8505</v>
      </c>
      <c r="C74" s="72">
        <v>7.0000000000000007E-2</v>
      </c>
      <c r="D74" s="7">
        <v>8010</v>
      </c>
      <c r="E74" s="7">
        <v>5685</v>
      </c>
      <c r="F74" s="7">
        <v>2180</v>
      </c>
      <c r="G74" s="7">
        <v>140</v>
      </c>
      <c r="H74" s="72">
        <v>0.71</v>
      </c>
      <c r="I74" s="72">
        <v>0.27</v>
      </c>
      <c r="J74" s="72">
        <v>0.02</v>
      </c>
    </row>
    <row r="75" spans="1:10" ht="15" thickBot="1" x14ac:dyDescent="0.4">
      <c r="A75" s="91" t="s">
        <v>412</v>
      </c>
      <c r="B75" s="7">
        <v>720</v>
      </c>
      <c r="C75" s="72">
        <v>7.0000000000000007E-2</v>
      </c>
      <c r="D75" s="7">
        <v>1280</v>
      </c>
      <c r="E75" s="7">
        <v>815</v>
      </c>
      <c r="F75" s="7">
        <v>435</v>
      </c>
      <c r="G75" s="7">
        <v>30</v>
      </c>
      <c r="H75" s="72">
        <v>0.64</v>
      </c>
      <c r="I75" s="72">
        <v>0.34</v>
      </c>
      <c r="J75" s="72">
        <v>0.02</v>
      </c>
    </row>
    <row r="76" spans="1:10" ht="15" thickBot="1" x14ac:dyDescent="0.4">
      <c r="A76" s="91" t="s">
        <v>413</v>
      </c>
      <c r="B76" s="7">
        <v>19705</v>
      </c>
      <c r="C76" s="72">
        <v>7.0000000000000007E-2</v>
      </c>
      <c r="D76" s="7">
        <v>19145</v>
      </c>
      <c r="E76" s="7">
        <v>13585</v>
      </c>
      <c r="F76" s="7">
        <v>5020</v>
      </c>
      <c r="G76" s="7">
        <v>540</v>
      </c>
      <c r="H76" s="72">
        <v>0.71</v>
      </c>
      <c r="I76" s="72">
        <v>0.26</v>
      </c>
      <c r="J76" s="72">
        <v>0.03</v>
      </c>
    </row>
    <row r="77" spans="1:10" ht="15" thickBot="1" x14ac:dyDescent="0.4">
      <c r="A77" s="91" t="s">
        <v>216</v>
      </c>
      <c r="B77" s="7">
        <v>19480</v>
      </c>
      <c r="C77" s="72">
        <v>1</v>
      </c>
      <c r="D77" s="7">
        <v>17935</v>
      </c>
      <c r="E77" s="7">
        <v>11505</v>
      </c>
      <c r="F77" s="7">
        <v>6080</v>
      </c>
      <c r="G77" s="7">
        <v>350</v>
      </c>
      <c r="H77" s="72">
        <v>0.64</v>
      </c>
      <c r="I77" s="72">
        <v>0.34</v>
      </c>
      <c r="J77" s="72">
        <v>0.02</v>
      </c>
    </row>
    <row r="78" spans="1:10" ht="15" thickBot="1" x14ac:dyDescent="0.4">
      <c r="A78" s="91" t="s">
        <v>217</v>
      </c>
      <c r="B78" s="7">
        <v>128070</v>
      </c>
      <c r="C78" s="72">
        <v>1</v>
      </c>
      <c r="D78" s="7">
        <v>120690</v>
      </c>
      <c r="E78" s="7">
        <v>80100</v>
      </c>
      <c r="F78" s="7">
        <v>35375</v>
      </c>
      <c r="G78" s="7">
        <v>5215</v>
      </c>
      <c r="H78" s="72">
        <v>0.66</v>
      </c>
      <c r="I78" s="72">
        <v>0.28999999999999998</v>
      </c>
      <c r="J78" s="72">
        <v>0.04</v>
      </c>
    </row>
    <row r="79" spans="1:10" ht="15" thickBot="1" x14ac:dyDescent="0.4">
      <c r="A79" s="91" t="s">
        <v>218</v>
      </c>
      <c r="B79" s="7">
        <v>118545</v>
      </c>
      <c r="C79" s="72">
        <v>1</v>
      </c>
      <c r="D79" s="7">
        <v>112505</v>
      </c>
      <c r="E79" s="7">
        <v>76980</v>
      </c>
      <c r="F79" s="7">
        <v>33490</v>
      </c>
      <c r="G79" s="7">
        <v>2040</v>
      </c>
      <c r="H79" s="72">
        <v>0.68</v>
      </c>
      <c r="I79" s="72">
        <v>0.3</v>
      </c>
      <c r="J79" s="72">
        <v>0.02</v>
      </c>
    </row>
    <row r="80" spans="1:10" ht="15" thickBot="1" x14ac:dyDescent="0.4">
      <c r="A80" s="91" t="s">
        <v>219</v>
      </c>
      <c r="B80" s="7">
        <v>10155</v>
      </c>
      <c r="C80" s="72">
        <v>1</v>
      </c>
      <c r="D80" s="7">
        <v>17250</v>
      </c>
      <c r="E80" s="7">
        <v>10990</v>
      </c>
      <c r="F80" s="7">
        <v>5895</v>
      </c>
      <c r="G80" s="7">
        <v>360</v>
      </c>
      <c r="H80" s="72">
        <v>0.64</v>
      </c>
      <c r="I80" s="72">
        <v>0.34</v>
      </c>
      <c r="J80" s="72">
        <v>0.02</v>
      </c>
    </row>
    <row r="81" spans="1:10" ht="15" thickBot="1" x14ac:dyDescent="0.4">
      <c r="A81" s="91" t="s">
        <v>273</v>
      </c>
      <c r="B81" s="7">
        <v>276250</v>
      </c>
      <c r="C81" s="72">
        <v>1</v>
      </c>
      <c r="D81" s="7">
        <v>268375</v>
      </c>
      <c r="E81" s="7">
        <v>179575</v>
      </c>
      <c r="F81" s="7">
        <v>80835</v>
      </c>
      <c r="G81" s="7">
        <v>7965</v>
      </c>
      <c r="H81" s="72">
        <v>0.67</v>
      </c>
      <c r="I81" s="72">
        <v>0.3</v>
      </c>
      <c r="J81" s="72">
        <v>0.03</v>
      </c>
    </row>
    <row r="82" spans="1:10" ht="29.5" thickBot="1" x14ac:dyDescent="0.4">
      <c r="A82" s="91" t="s">
        <v>233</v>
      </c>
      <c r="B82" s="7">
        <v>15</v>
      </c>
      <c r="C82" s="72">
        <v>0</v>
      </c>
      <c r="D82" s="7">
        <v>15</v>
      </c>
      <c r="E82" s="7">
        <v>15</v>
      </c>
      <c r="F82" s="7" t="s">
        <v>486</v>
      </c>
      <c r="G82" s="7">
        <v>0</v>
      </c>
      <c r="H82" s="72" t="s">
        <v>486</v>
      </c>
      <c r="I82" s="72" t="s">
        <v>486</v>
      </c>
      <c r="J82" s="72">
        <v>0</v>
      </c>
    </row>
    <row r="83" spans="1:10" ht="29.5" thickBot="1" x14ac:dyDescent="0.4">
      <c r="A83" s="91" t="s">
        <v>234</v>
      </c>
      <c r="B83" s="7">
        <v>110</v>
      </c>
      <c r="C83" s="72">
        <v>0</v>
      </c>
      <c r="D83" s="7">
        <v>95</v>
      </c>
      <c r="E83" s="7">
        <v>75</v>
      </c>
      <c r="F83" s="7">
        <v>20</v>
      </c>
      <c r="G83" s="7" t="s">
        <v>486</v>
      </c>
      <c r="H83" s="72">
        <v>0.76</v>
      </c>
      <c r="I83" s="72" t="s">
        <v>486</v>
      </c>
      <c r="J83" s="72" t="s">
        <v>486</v>
      </c>
    </row>
    <row r="84" spans="1:10" ht="29.5" thickBot="1" x14ac:dyDescent="0.4">
      <c r="A84" s="91" t="s">
        <v>235</v>
      </c>
      <c r="B84" s="7">
        <v>155</v>
      </c>
      <c r="C84" s="72">
        <v>0</v>
      </c>
      <c r="D84" s="7">
        <v>135</v>
      </c>
      <c r="E84" s="7">
        <v>90</v>
      </c>
      <c r="F84" s="7">
        <v>40</v>
      </c>
      <c r="G84" s="7">
        <v>5</v>
      </c>
      <c r="H84" s="72">
        <v>0.66</v>
      </c>
      <c r="I84" s="72">
        <v>0.28999999999999998</v>
      </c>
      <c r="J84" s="72">
        <v>0.05</v>
      </c>
    </row>
    <row r="85" spans="1:10" ht="29.5" thickBot="1" x14ac:dyDescent="0.4">
      <c r="A85" s="91" t="s">
        <v>236</v>
      </c>
      <c r="B85" s="7">
        <v>20</v>
      </c>
      <c r="C85" s="72">
        <v>0</v>
      </c>
      <c r="D85" s="7">
        <v>35</v>
      </c>
      <c r="E85" s="7">
        <v>30</v>
      </c>
      <c r="F85" s="7">
        <v>5</v>
      </c>
      <c r="G85" s="7" t="s">
        <v>486</v>
      </c>
      <c r="H85" s="72">
        <v>0.78</v>
      </c>
      <c r="I85" s="72" t="s">
        <v>486</v>
      </c>
      <c r="J85" s="72" t="s">
        <v>486</v>
      </c>
    </row>
    <row r="86" spans="1:10" ht="15" thickBot="1" x14ac:dyDescent="0.4">
      <c r="A86" s="91" t="s">
        <v>277</v>
      </c>
      <c r="B86" s="7">
        <v>295</v>
      </c>
      <c r="C86" s="72">
        <v>0</v>
      </c>
      <c r="D86" s="7">
        <v>285</v>
      </c>
      <c r="E86" s="7">
        <v>205</v>
      </c>
      <c r="F86" s="7">
        <v>70</v>
      </c>
      <c r="G86" s="7">
        <v>10</v>
      </c>
      <c r="H86" s="72">
        <v>0.72</v>
      </c>
      <c r="I86" s="72">
        <v>0.24</v>
      </c>
      <c r="J86" s="72">
        <v>0.04</v>
      </c>
    </row>
    <row r="87" spans="1:10" ht="15" thickBot="1" x14ac:dyDescent="0.4">
      <c r="A87" s="91" t="s">
        <v>419</v>
      </c>
      <c r="B87" s="7">
        <v>60</v>
      </c>
      <c r="C87" s="72">
        <v>0</v>
      </c>
      <c r="D87" s="7">
        <v>55</v>
      </c>
      <c r="E87" s="7">
        <v>35</v>
      </c>
      <c r="F87" s="7">
        <v>20</v>
      </c>
      <c r="G87" s="7">
        <v>0</v>
      </c>
      <c r="H87" s="72">
        <v>0.61</v>
      </c>
      <c r="I87" s="72">
        <v>0.39</v>
      </c>
      <c r="J87" s="72">
        <v>0</v>
      </c>
    </row>
    <row r="88" spans="1:10" ht="15" thickBot="1" x14ac:dyDescent="0.4">
      <c r="A88" s="91" t="s">
        <v>420</v>
      </c>
      <c r="B88" s="7">
        <v>345</v>
      </c>
      <c r="C88" s="72">
        <v>0</v>
      </c>
      <c r="D88" s="7">
        <v>330</v>
      </c>
      <c r="E88" s="7">
        <v>225</v>
      </c>
      <c r="F88" s="7">
        <v>100</v>
      </c>
      <c r="G88" s="7">
        <v>10</v>
      </c>
      <c r="H88" s="72">
        <v>0.68</v>
      </c>
      <c r="I88" s="72">
        <v>0.3</v>
      </c>
      <c r="J88" s="72">
        <v>0.02</v>
      </c>
    </row>
    <row r="89" spans="1:10" ht="15" thickBot="1" x14ac:dyDescent="0.4">
      <c r="A89" s="91" t="s">
        <v>421</v>
      </c>
      <c r="B89" s="7">
        <v>370</v>
      </c>
      <c r="C89" s="72">
        <v>0</v>
      </c>
      <c r="D89" s="7">
        <v>350</v>
      </c>
      <c r="E89" s="7">
        <v>230</v>
      </c>
      <c r="F89" s="7">
        <v>115</v>
      </c>
      <c r="G89" s="7">
        <v>10</v>
      </c>
      <c r="H89" s="72">
        <v>0.65</v>
      </c>
      <c r="I89" s="72">
        <v>0.33</v>
      </c>
      <c r="J89" s="72">
        <v>0.02</v>
      </c>
    </row>
    <row r="90" spans="1:10" ht="15" thickBot="1" x14ac:dyDescent="0.4">
      <c r="A90" s="91" t="s">
        <v>422</v>
      </c>
      <c r="B90" s="7">
        <v>35</v>
      </c>
      <c r="C90" s="72">
        <v>0</v>
      </c>
      <c r="D90" s="7">
        <v>45</v>
      </c>
      <c r="E90" s="7">
        <v>30</v>
      </c>
      <c r="F90" s="7">
        <v>15</v>
      </c>
      <c r="G90" s="7" t="s">
        <v>486</v>
      </c>
      <c r="H90" s="72">
        <v>0.65</v>
      </c>
      <c r="I90" s="72" t="s">
        <v>486</v>
      </c>
      <c r="J90" s="72" t="s">
        <v>486</v>
      </c>
    </row>
    <row r="91" spans="1:10" x14ac:dyDescent="0.35">
      <c r="A91" s="92" t="s">
        <v>423</v>
      </c>
      <c r="B91" s="7">
        <v>810</v>
      </c>
      <c r="C91" s="72">
        <v>0</v>
      </c>
      <c r="D91" s="7">
        <v>780</v>
      </c>
      <c r="E91" s="7">
        <v>515</v>
      </c>
      <c r="F91" s="7">
        <v>250</v>
      </c>
      <c r="G91" s="7">
        <v>15</v>
      </c>
      <c r="H91" s="72">
        <v>0.66</v>
      </c>
      <c r="I91" s="72">
        <v>0.32</v>
      </c>
      <c r="J91" s="72">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91"/>
  <sheetViews>
    <sheetView zoomScale="75" zoomScaleNormal="75" workbookViewId="0">
      <selection activeCell="E1" sqref="E1"/>
    </sheetView>
  </sheetViews>
  <sheetFormatPr defaultRowHeight="14.5" x14ac:dyDescent="0.35"/>
  <cols>
    <col min="1" max="1" width="27.26953125" bestFit="1" customWidth="1"/>
    <col min="2" max="2" width="13.7265625" customWidth="1"/>
    <col min="3" max="3" width="13.54296875" customWidth="1"/>
    <col min="4" max="4" width="13.81640625" customWidth="1"/>
    <col min="5" max="5" width="12.26953125" customWidth="1"/>
    <col min="6" max="7" width="12.453125" customWidth="1"/>
    <col min="8" max="8" width="12.81640625" customWidth="1"/>
    <col min="9" max="9" width="14" customWidth="1"/>
    <col min="10" max="10" width="13.453125" customWidth="1"/>
    <col min="11" max="11" width="12.1796875" customWidth="1"/>
    <col min="12" max="12" width="12.81640625" customWidth="1"/>
    <col min="13" max="13" width="13.453125" customWidth="1"/>
    <col min="15" max="15" width="10.81640625" customWidth="1"/>
  </cols>
  <sheetData>
    <row r="1" spans="1:15" ht="124" x14ac:dyDescent="0.35">
      <c r="A1" s="89" t="s">
        <v>74</v>
      </c>
      <c r="B1" s="70" t="s">
        <v>75</v>
      </c>
      <c r="C1" s="70" t="s">
        <v>342</v>
      </c>
      <c r="D1" s="70" t="s">
        <v>82</v>
      </c>
      <c r="E1" s="70" t="s">
        <v>83</v>
      </c>
      <c r="F1" s="70" t="s">
        <v>84</v>
      </c>
      <c r="G1" s="70" t="s">
        <v>85</v>
      </c>
      <c r="H1" s="70" t="s">
        <v>86</v>
      </c>
      <c r="I1" s="70" t="s">
        <v>347</v>
      </c>
      <c r="J1" s="90" t="s">
        <v>348</v>
      </c>
      <c r="K1" s="90" t="s">
        <v>349</v>
      </c>
      <c r="L1" s="90" t="s">
        <v>352</v>
      </c>
      <c r="M1" s="71" t="s">
        <v>351</v>
      </c>
      <c r="O1" s="71" t="s">
        <v>232</v>
      </c>
    </row>
    <row r="2" spans="1:15" ht="15" thickBot="1" x14ac:dyDescent="0.4">
      <c r="A2" s="91" t="s">
        <v>359</v>
      </c>
      <c r="B2" s="7">
        <v>1390</v>
      </c>
      <c r="C2" s="72">
        <v>7.0000000000000007E-2</v>
      </c>
      <c r="D2" s="7">
        <v>1330</v>
      </c>
      <c r="E2" s="7">
        <v>0</v>
      </c>
      <c r="F2" s="7">
        <v>0</v>
      </c>
      <c r="G2" s="7">
        <v>0</v>
      </c>
      <c r="H2" s="7">
        <v>55</v>
      </c>
      <c r="I2" s="72">
        <v>0.96</v>
      </c>
      <c r="J2" s="72">
        <v>0</v>
      </c>
      <c r="K2" s="72">
        <v>0</v>
      </c>
      <c r="L2" s="72">
        <v>0</v>
      </c>
      <c r="M2" s="72">
        <v>0.04</v>
      </c>
      <c r="O2" s="21" t="s">
        <v>228</v>
      </c>
    </row>
    <row r="3" spans="1:15" ht="15" thickBot="1" x14ac:dyDescent="0.4">
      <c r="A3" s="91" t="s">
        <v>360</v>
      </c>
      <c r="B3" s="7">
        <v>10705</v>
      </c>
      <c r="C3" s="72">
        <v>0.08</v>
      </c>
      <c r="D3" s="7">
        <v>2730</v>
      </c>
      <c r="E3" s="7">
        <v>4235</v>
      </c>
      <c r="F3" s="7">
        <v>2255</v>
      </c>
      <c r="G3" s="7">
        <v>4450</v>
      </c>
      <c r="H3" s="7">
        <v>1400</v>
      </c>
      <c r="I3" s="72">
        <v>0.26</v>
      </c>
      <c r="J3" s="72">
        <v>0.4</v>
      </c>
      <c r="K3" s="72">
        <v>0.21</v>
      </c>
      <c r="L3" s="72">
        <v>0.42</v>
      </c>
      <c r="M3" s="72">
        <v>0.13</v>
      </c>
      <c r="O3" s="21" t="s">
        <v>229</v>
      </c>
    </row>
    <row r="4" spans="1:15" ht="15" thickBot="1" x14ac:dyDescent="0.4">
      <c r="A4" s="91" t="s">
        <v>361</v>
      </c>
      <c r="B4" s="7">
        <v>9515</v>
      </c>
      <c r="C4" s="72">
        <v>0.08</v>
      </c>
      <c r="D4" s="7">
        <v>2715</v>
      </c>
      <c r="E4" s="7">
        <v>3075</v>
      </c>
      <c r="F4" s="7">
        <v>2670</v>
      </c>
      <c r="G4" s="7">
        <v>6130</v>
      </c>
      <c r="H4" s="7">
        <v>1185</v>
      </c>
      <c r="I4" s="72">
        <v>0.28999999999999998</v>
      </c>
      <c r="J4" s="72">
        <v>0.32</v>
      </c>
      <c r="K4" s="72">
        <v>0.28000000000000003</v>
      </c>
      <c r="L4" s="72">
        <v>0.64</v>
      </c>
      <c r="M4" s="72">
        <v>0.12</v>
      </c>
      <c r="O4" s="21" t="s">
        <v>230</v>
      </c>
    </row>
    <row r="5" spans="1:15" ht="15" thickBot="1" x14ac:dyDescent="0.4">
      <c r="A5" s="91" t="s">
        <v>362</v>
      </c>
      <c r="B5" s="7">
        <v>815</v>
      </c>
      <c r="C5" s="72">
        <v>0.08</v>
      </c>
      <c r="D5" s="7">
        <v>410</v>
      </c>
      <c r="E5" s="7">
        <v>285</v>
      </c>
      <c r="F5" s="7">
        <v>0</v>
      </c>
      <c r="G5" s="7">
        <v>655</v>
      </c>
      <c r="H5" s="7">
        <v>125</v>
      </c>
      <c r="I5" s="72">
        <v>0.5</v>
      </c>
      <c r="J5" s="72">
        <v>0.35</v>
      </c>
      <c r="K5" s="72">
        <v>0</v>
      </c>
      <c r="L5" s="72">
        <v>0.81</v>
      </c>
      <c r="M5" s="72">
        <v>0.15</v>
      </c>
      <c r="O5" s="21" t="s">
        <v>231</v>
      </c>
    </row>
    <row r="6" spans="1:15" ht="15" thickBot="1" x14ac:dyDescent="0.4">
      <c r="A6" s="91" t="s">
        <v>363</v>
      </c>
      <c r="B6" s="7">
        <v>22425</v>
      </c>
      <c r="C6" s="72">
        <v>0.08</v>
      </c>
      <c r="D6" s="7">
        <v>7185</v>
      </c>
      <c r="E6" s="7">
        <v>7595</v>
      </c>
      <c r="F6" s="7">
        <v>4930</v>
      </c>
      <c r="G6" s="7">
        <v>11235</v>
      </c>
      <c r="H6" s="7">
        <v>2760</v>
      </c>
      <c r="I6" s="72">
        <v>0.32</v>
      </c>
      <c r="J6" s="72">
        <v>0.34</v>
      </c>
      <c r="K6" s="72">
        <v>0.22</v>
      </c>
      <c r="L6" s="72">
        <v>0.5</v>
      </c>
      <c r="M6" s="72">
        <v>0.12</v>
      </c>
      <c r="O6" s="21" t="s">
        <v>241</v>
      </c>
    </row>
    <row r="7" spans="1:15" ht="15" thickBot="1" x14ac:dyDescent="0.4">
      <c r="A7" s="91" t="s">
        <v>364</v>
      </c>
      <c r="B7" s="7">
        <v>295</v>
      </c>
      <c r="C7" s="72">
        <v>0.02</v>
      </c>
      <c r="D7" s="7">
        <v>280</v>
      </c>
      <c r="E7" s="7">
        <v>0</v>
      </c>
      <c r="F7" s="7">
        <v>0</v>
      </c>
      <c r="G7" s="7">
        <v>0</v>
      </c>
      <c r="H7" s="7">
        <v>15</v>
      </c>
      <c r="I7" s="72">
        <v>0.95</v>
      </c>
      <c r="J7" s="72">
        <v>0</v>
      </c>
      <c r="K7" s="72">
        <v>0</v>
      </c>
      <c r="L7" s="72">
        <v>0</v>
      </c>
      <c r="M7" s="72">
        <v>0.05</v>
      </c>
    </row>
    <row r="8" spans="1:15" ht="15" thickBot="1" x14ac:dyDescent="0.4">
      <c r="A8" s="91" t="s">
        <v>365</v>
      </c>
      <c r="B8" s="7">
        <v>1850</v>
      </c>
      <c r="C8" s="72">
        <v>0.01</v>
      </c>
      <c r="D8" s="7">
        <v>510</v>
      </c>
      <c r="E8" s="7">
        <v>740</v>
      </c>
      <c r="F8" s="7">
        <v>420</v>
      </c>
      <c r="G8" s="7">
        <v>790</v>
      </c>
      <c r="H8" s="7">
        <v>185</v>
      </c>
      <c r="I8" s="72">
        <v>0.28000000000000003</v>
      </c>
      <c r="J8" s="72">
        <v>0.4</v>
      </c>
      <c r="K8" s="72">
        <v>0.23</v>
      </c>
      <c r="L8" s="72">
        <v>0.43</v>
      </c>
      <c r="M8" s="72">
        <v>0.1</v>
      </c>
    </row>
    <row r="9" spans="1:15" ht="15" thickBot="1" x14ac:dyDescent="0.4">
      <c r="A9" s="91" t="s">
        <v>366</v>
      </c>
      <c r="B9" s="7">
        <v>2015</v>
      </c>
      <c r="C9" s="72">
        <v>0.02</v>
      </c>
      <c r="D9" s="7">
        <v>520</v>
      </c>
      <c r="E9" s="7">
        <v>670</v>
      </c>
      <c r="F9" s="7">
        <v>640</v>
      </c>
      <c r="G9" s="7">
        <v>1225</v>
      </c>
      <c r="H9" s="7">
        <v>235</v>
      </c>
      <c r="I9" s="72">
        <v>0.26</v>
      </c>
      <c r="J9" s="72">
        <v>0.33</v>
      </c>
      <c r="K9" s="72">
        <v>0.32</v>
      </c>
      <c r="L9" s="72">
        <v>0.61</v>
      </c>
      <c r="M9" s="72">
        <v>0.12</v>
      </c>
    </row>
    <row r="10" spans="1:15" ht="15" thickBot="1" x14ac:dyDescent="0.4">
      <c r="A10" s="91" t="s">
        <v>367</v>
      </c>
      <c r="B10" s="7">
        <v>165</v>
      </c>
      <c r="C10" s="72">
        <v>0.02</v>
      </c>
      <c r="D10" s="7">
        <v>75</v>
      </c>
      <c r="E10" s="7">
        <v>65</v>
      </c>
      <c r="F10" s="7">
        <v>0</v>
      </c>
      <c r="G10" s="7">
        <v>135</v>
      </c>
      <c r="H10" s="7">
        <v>25</v>
      </c>
      <c r="I10" s="72">
        <v>0.45</v>
      </c>
      <c r="J10" s="72">
        <v>0.38</v>
      </c>
      <c r="K10" s="72">
        <v>0</v>
      </c>
      <c r="L10" s="72">
        <v>0.81</v>
      </c>
      <c r="M10" s="72">
        <v>0.16</v>
      </c>
    </row>
    <row r="11" spans="1:15" ht="15" thickBot="1" x14ac:dyDescent="0.4">
      <c r="A11" s="91" t="s">
        <v>368</v>
      </c>
      <c r="B11" s="7">
        <v>4325</v>
      </c>
      <c r="C11" s="72">
        <v>0.02</v>
      </c>
      <c r="D11" s="7">
        <v>1385</v>
      </c>
      <c r="E11" s="7">
        <v>1475</v>
      </c>
      <c r="F11" s="7">
        <v>1065</v>
      </c>
      <c r="G11" s="7">
        <v>2150</v>
      </c>
      <c r="H11" s="7">
        <v>460</v>
      </c>
      <c r="I11" s="72">
        <v>0.32</v>
      </c>
      <c r="J11" s="72">
        <v>0.34</v>
      </c>
      <c r="K11" s="72">
        <v>0.25</v>
      </c>
      <c r="L11" s="72">
        <v>0.5</v>
      </c>
      <c r="M11" s="72">
        <v>0.11</v>
      </c>
    </row>
    <row r="12" spans="1:15" ht="29.5" thickBot="1" x14ac:dyDescent="0.4">
      <c r="A12" s="91" t="s">
        <v>369</v>
      </c>
      <c r="B12" s="7">
        <v>430</v>
      </c>
      <c r="C12" s="72">
        <v>0.02</v>
      </c>
      <c r="D12" s="7">
        <v>415</v>
      </c>
      <c r="E12" s="7">
        <v>0</v>
      </c>
      <c r="F12" s="7">
        <v>0</v>
      </c>
      <c r="G12" s="7">
        <v>0</v>
      </c>
      <c r="H12" s="7">
        <v>15</v>
      </c>
      <c r="I12" s="72">
        <v>0.97</v>
      </c>
      <c r="J12" s="72">
        <v>0</v>
      </c>
      <c r="K12" s="72">
        <v>0</v>
      </c>
      <c r="L12" s="72">
        <v>0</v>
      </c>
      <c r="M12" s="72">
        <v>0.03</v>
      </c>
    </row>
    <row r="13" spans="1:15" ht="29.5" thickBot="1" x14ac:dyDescent="0.4">
      <c r="A13" s="91" t="s">
        <v>370</v>
      </c>
      <c r="B13" s="7">
        <v>3320</v>
      </c>
      <c r="C13" s="72">
        <v>0.03</v>
      </c>
      <c r="D13" s="7">
        <v>875</v>
      </c>
      <c r="E13" s="7">
        <v>1405</v>
      </c>
      <c r="F13" s="7">
        <v>735</v>
      </c>
      <c r="G13" s="7">
        <v>1445</v>
      </c>
      <c r="H13" s="7">
        <v>375</v>
      </c>
      <c r="I13" s="72">
        <v>0.26</v>
      </c>
      <c r="J13" s="72">
        <v>0.42</v>
      </c>
      <c r="K13" s="72">
        <v>0.22</v>
      </c>
      <c r="L13" s="72">
        <v>0.44</v>
      </c>
      <c r="M13" s="72">
        <v>0.11</v>
      </c>
    </row>
    <row r="14" spans="1:15" ht="29.5" thickBot="1" x14ac:dyDescent="0.4">
      <c r="A14" s="91" t="s">
        <v>371</v>
      </c>
      <c r="B14" s="7">
        <v>3090</v>
      </c>
      <c r="C14" s="72">
        <v>0.03</v>
      </c>
      <c r="D14" s="7">
        <v>855</v>
      </c>
      <c r="E14" s="7">
        <v>1095</v>
      </c>
      <c r="F14" s="7">
        <v>920</v>
      </c>
      <c r="G14" s="7">
        <v>2015</v>
      </c>
      <c r="H14" s="7">
        <v>320</v>
      </c>
      <c r="I14" s="72">
        <v>0.28000000000000003</v>
      </c>
      <c r="J14" s="72">
        <v>0.35</v>
      </c>
      <c r="K14" s="72">
        <v>0.3</v>
      </c>
      <c r="L14" s="72">
        <v>0.65</v>
      </c>
      <c r="M14" s="72">
        <v>0.1</v>
      </c>
    </row>
    <row r="15" spans="1:15" ht="29.5" thickBot="1" x14ac:dyDescent="0.4">
      <c r="A15" s="91" t="s">
        <v>372</v>
      </c>
      <c r="B15" s="7">
        <v>245</v>
      </c>
      <c r="C15" s="72">
        <v>0.02</v>
      </c>
      <c r="D15" s="7">
        <v>105</v>
      </c>
      <c r="E15" s="7">
        <v>90</v>
      </c>
      <c r="F15" s="7">
        <v>0</v>
      </c>
      <c r="G15" s="7">
        <v>195</v>
      </c>
      <c r="H15" s="7">
        <v>45</v>
      </c>
      <c r="I15" s="72">
        <v>0.43</v>
      </c>
      <c r="J15" s="72">
        <v>0.37</v>
      </c>
      <c r="K15" s="72">
        <v>0</v>
      </c>
      <c r="L15" s="72">
        <v>0.78</v>
      </c>
      <c r="M15" s="72">
        <v>0.18</v>
      </c>
    </row>
    <row r="16" spans="1:15" ht="15" thickBot="1" x14ac:dyDescent="0.4">
      <c r="A16" s="91" t="s">
        <v>373</v>
      </c>
      <c r="B16" s="7">
        <v>7085</v>
      </c>
      <c r="C16" s="72">
        <v>0.03</v>
      </c>
      <c r="D16" s="7">
        <v>2250</v>
      </c>
      <c r="E16" s="7">
        <v>2590</v>
      </c>
      <c r="F16" s="7">
        <v>1650</v>
      </c>
      <c r="G16" s="7">
        <v>3655</v>
      </c>
      <c r="H16" s="7">
        <v>755</v>
      </c>
      <c r="I16" s="72">
        <v>0.32</v>
      </c>
      <c r="J16" s="72">
        <v>0.37</v>
      </c>
      <c r="K16" s="72">
        <v>0.23</v>
      </c>
      <c r="L16" s="72">
        <v>0.52</v>
      </c>
      <c r="M16" s="72">
        <v>0.11</v>
      </c>
    </row>
    <row r="17" spans="1:13" ht="15" thickBot="1" x14ac:dyDescent="0.4">
      <c r="A17" s="91" t="s">
        <v>144</v>
      </c>
      <c r="B17" s="7">
        <v>1315</v>
      </c>
      <c r="C17" s="72">
        <v>7.0000000000000007E-2</v>
      </c>
      <c r="D17" s="7">
        <v>1265</v>
      </c>
      <c r="E17" s="7">
        <v>0</v>
      </c>
      <c r="F17" s="7">
        <v>0</v>
      </c>
      <c r="G17" s="7">
        <v>0</v>
      </c>
      <c r="H17" s="7">
        <v>45</v>
      </c>
      <c r="I17" s="72">
        <v>0.96</v>
      </c>
      <c r="J17" s="72">
        <v>0</v>
      </c>
      <c r="K17" s="72">
        <v>0</v>
      </c>
      <c r="L17" s="72">
        <v>0</v>
      </c>
      <c r="M17" s="72">
        <v>0.04</v>
      </c>
    </row>
    <row r="18" spans="1:13" ht="15" thickBot="1" x14ac:dyDescent="0.4">
      <c r="A18" s="91" t="s">
        <v>145</v>
      </c>
      <c r="B18" s="7">
        <v>9465</v>
      </c>
      <c r="C18" s="72">
        <v>7.0000000000000007E-2</v>
      </c>
      <c r="D18" s="7">
        <v>2520</v>
      </c>
      <c r="E18" s="7">
        <v>3850</v>
      </c>
      <c r="F18" s="7">
        <v>1980</v>
      </c>
      <c r="G18" s="7">
        <v>4090</v>
      </c>
      <c r="H18" s="7">
        <v>1075</v>
      </c>
      <c r="I18" s="72">
        <v>0.27</v>
      </c>
      <c r="J18" s="72">
        <v>0.41</v>
      </c>
      <c r="K18" s="72">
        <v>0.21</v>
      </c>
      <c r="L18" s="72">
        <v>0.43</v>
      </c>
      <c r="M18" s="72">
        <v>0.11</v>
      </c>
    </row>
    <row r="19" spans="1:13" ht="15" thickBot="1" x14ac:dyDescent="0.4">
      <c r="A19" s="91" t="s">
        <v>146</v>
      </c>
      <c r="B19" s="7">
        <v>8485</v>
      </c>
      <c r="C19" s="72">
        <v>7.0000000000000007E-2</v>
      </c>
      <c r="D19" s="7">
        <v>2520</v>
      </c>
      <c r="E19" s="7">
        <v>2810</v>
      </c>
      <c r="F19" s="7">
        <v>2490</v>
      </c>
      <c r="G19" s="7">
        <v>5535</v>
      </c>
      <c r="H19" s="7">
        <v>895</v>
      </c>
      <c r="I19" s="72">
        <v>0.3</v>
      </c>
      <c r="J19" s="72">
        <v>0.33</v>
      </c>
      <c r="K19" s="72">
        <v>0.28999999999999998</v>
      </c>
      <c r="L19" s="72">
        <v>0.65</v>
      </c>
      <c r="M19" s="72">
        <v>0.11</v>
      </c>
    </row>
    <row r="20" spans="1:13" ht="15" thickBot="1" x14ac:dyDescent="0.4">
      <c r="A20" s="91" t="s">
        <v>147</v>
      </c>
      <c r="B20" s="7">
        <v>785</v>
      </c>
      <c r="C20" s="72">
        <v>0.08</v>
      </c>
      <c r="D20" s="7">
        <v>365</v>
      </c>
      <c r="E20" s="7">
        <v>330</v>
      </c>
      <c r="F20" s="7">
        <v>0</v>
      </c>
      <c r="G20" s="7">
        <v>665</v>
      </c>
      <c r="H20" s="7">
        <v>90</v>
      </c>
      <c r="I20" s="72">
        <v>0.46</v>
      </c>
      <c r="J20" s="72">
        <v>0.42</v>
      </c>
      <c r="K20" s="72">
        <v>0</v>
      </c>
      <c r="L20" s="72">
        <v>0.84</v>
      </c>
      <c r="M20" s="72">
        <v>0.12</v>
      </c>
    </row>
    <row r="21" spans="1:13" ht="15" thickBot="1" x14ac:dyDescent="0.4">
      <c r="A21" s="91" t="s">
        <v>255</v>
      </c>
      <c r="B21" s="7">
        <v>20045</v>
      </c>
      <c r="C21" s="72">
        <v>7.0000000000000007E-2</v>
      </c>
      <c r="D21" s="7">
        <v>6665</v>
      </c>
      <c r="E21" s="7">
        <v>6990</v>
      </c>
      <c r="F21" s="7">
        <v>4470</v>
      </c>
      <c r="G21" s="7">
        <v>10290</v>
      </c>
      <c r="H21" s="7">
        <v>2110</v>
      </c>
      <c r="I21" s="72">
        <v>0.33</v>
      </c>
      <c r="J21" s="72">
        <v>0.35</v>
      </c>
      <c r="K21" s="72">
        <v>0.22</v>
      </c>
      <c r="L21" s="72">
        <v>0.51</v>
      </c>
      <c r="M21" s="72">
        <v>0.11</v>
      </c>
    </row>
    <row r="22" spans="1:13" ht="15" thickBot="1" x14ac:dyDescent="0.4">
      <c r="A22" s="91" t="s">
        <v>374</v>
      </c>
      <c r="B22" s="7">
        <v>885</v>
      </c>
      <c r="C22" s="72">
        <v>0.05</v>
      </c>
      <c r="D22" s="7">
        <v>850</v>
      </c>
      <c r="E22" s="7">
        <v>0</v>
      </c>
      <c r="F22" s="7">
        <v>0</v>
      </c>
      <c r="G22" s="7">
        <v>0</v>
      </c>
      <c r="H22" s="7">
        <v>40</v>
      </c>
      <c r="I22" s="72">
        <v>0.96</v>
      </c>
      <c r="J22" s="72">
        <v>0</v>
      </c>
      <c r="K22" s="72">
        <v>0</v>
      </c>
      <c r="L22" s="72">
        <v>0</v>
      </c>
      <c r="M22" s="72">
        <v>0.04</v>
      </c>
    </row>
    <row r="23" spans="1:13" ht="15" thickBot="1" x14ac:dyDescent="0.4">
      <c r="A23" s="91" t="s">
        <v>375</v>
      </c>
      <c r="B23" s="7">
        <v>6290</v>
      </c>
      <c r="C23" s="72">
        <v>0.05</v>
      </c>
      <c r="D23" s="7">
        <v>1680</v>
      </c>
      <c r="E23" s="7">
        <v>2485</v>
      </c>
      <c r="F23" s="7">
        <v>1370</v>
      </c>
      <c r="G23" s="7">
        <v>2770</v>
      </c>
      <c r="H23" s="7">
        <v>725</v>
      </c>
      <c r="I23" s="72">
        <v>0.27</v>
      </c>
      <c r="J23" s="72">
        <v>0.4</v>
      </c>
      <c r="K23" s="72">
        <v>0.22</v>
      </c>
      <c r="L23" s="72">
        <v>0.44</v>
      </c>
      <c r="M23" s="72">
        <v>0.12</v>
      </c>
    </row>
    <row r="24" spans="1:13" ht="15" thickBot="1" x14ac:dyDescent="0.4">
      <c r="A24" s="91" t="s">
        <v>376</v>
      </c>
      <c r="B24" s="7">
        <v>5960</v>
      </c>
      <c r="C24" s="72">
        <v>0.05</v>
      </c>
      <c r="D24" s="7">
        <v>1705</v>
      </c>
      <c r="E24" s="7">
        <v>1970</v>
      </c>
      <c r="F24" s="7">
        <v>1740</v>
      </c>
      <c r="G24" s="7">
        <v>3935</v>
      </c>
      <c r="H24" s="7">
        <v>645</v>
      </c>
      <c r="I24" s="72">
        <v>0.28999999999999998</v>
      </c>
      <c r="J24" s="72">
        <v>0.33</v>
      </c>
      <c r="K24" s="72">
        <v>0.28999999999999998</v>
      </c>
      <c r="L24" s="72">
        <v>0.66</v>
      </c>
      <c r="M24" s="72">
        <v>0.11</v>
      </c>
    </row>
    <row r="25" spans="1:13" ht="15" thickBot="1" x14ac:dyDescent="0.4">
      <c r="A25" s="91" t="s">
        <v>377</v>
      </c>
      <c r="B25" s="7">
        <v>500</v>
      </c>
      <c r="C25" s="72">
        <v>0.05</v>
      </c>
      <c r="D25" s="7">
        <v>220</v>
      </c>
      <c r="E25" s="7">
        <v>165</v>
      </c>
      <c r="F25" s="7">
        <v>0</v>
      </c>
      <c r="G25" s="7">
        <v>400</v>
      </c>
      <c r="H25" s="7">
        <v>85</v>
      </c>
      <c r="I25" s="72">
        <v>0.44</v>
      </c>
      <c r="J25" s="72">
        <v>0.34</v>
      </c>
      <c r="K25" s="72">
        <v>0</v>
      </c>
      <c r="L25" s="72">
        <v>0.8</v>
      </c>
      <c r="M25" s="72">
        <v>0.17</v>
      </c>
    </row>
    <row r="26" spans="1:13" ht="15" thickBot="1" x14ac:dyDescent="0.4">
      <c r="A26" s="91" t="s">
        <v>378</v>
      </c>
      <c r="B26" s="7">
        <v>13635</v>
      </c>
      <c r="C26" s="72">
        <v>0.05</v>
      </c>
      <c r="D26" s="7">
        <v>4455</v>
      </c>
      <c r="E26" s="7">
        <v>4625</v>
      </c>
      <c r="F26" s="7">
        <v>3110</v>
      </c>
      <c r="G26" s="7">
        <v>7100</v>
      </c>
      <c r="H26" s="7">
        <v>1495</v>
      </c>
      <c r="I26" s="72">
        <v>0.33</v>
      </c>
      <c r="J26" s="72">
        <v>0.34</v>
      </c>
      <c r="K26" s="72">
        <v>0.23</v>
      </c>
      <c r="L26" s="72">
        <v>0.52</v>
      </c>
      <c r="M26" s="72">
        <v>0.11</v>
      </c>
    </row>
    <row r="27" spans="1:13" ht="15" thickBot="1" x14ac:dyDescent="0.4">
      <c r="A27" s="91" t="s">
        <v>379</v>
      </c>
      <c r="B27" s="7">
        <v>1420</v>
      </c>
      <c r="C27" s="72">
        <v>7.0000000000000007E-2</v>
      </c>
      <c r="D27" s="7">
        <v>1360</v>
      </c>
      <c r="E27" s="7">
        <v>0</v>
      </c>
      <c r="F27" s="7">
        <v>0</v>
      </c>
      <c r="G27" s="7">
        <v>0</v>
      </c>
      <c r="H27" s="7">
        <v>60</v>
      </c>
      <c r="I27" s="72">
        <v>0.96</v>
      </c>
      <c r="J27" s="72">
        <v>0</v>
      </c>
      <c r="K27" s="72">
        <v>0</v>
      </c>
      <c r="L27" s="72">
        <v>0</v>
      </c>
      <c r="M27" s="72">
        <v>0.04</v>
      </c>
    </row>
    <row r="28" spans="1:13" ht="15" thickBot="1" x14ac:dyDescent="0.4">
      <c r="A28" s="91" t="s">
        <v>380</v>
      </c>
      <c r="B28" s="7">
        <v>7845</v>
      </c>
      <c r="C28" s="72">
        <v>0.06</v>
      </c>
      <c r="D28" s="7">
        <v>2210</v>
      </c>
      <c r="E28" s="7">
        <v>3070</v>
      </c>
      <c r="F28" s="7">
        <v>1705</v>
      </c>
      <c r="G28" s="7">
        <v>3495</v>
      </c>
      <c r="H28" s="7">
        <v>840</v>
      </c>
      <c r="I28" s="72">
        <v>0.28000000000000003</v>
      </c>
      <c r="J28" s="72">
        <v>0.39</v>
      </c>
      <c r="K28" s="72">
        <v>0.22</v>
      </c>
      <c r="L28" s="72">
        <v>0.45</v>
      </c>
      <c r="M28" s="72">
        <v>0.11</v>
      </c>
    </row>
    <row r="29" spans="1:13" ht="15" thickBot="1" x14ac:dyDescent="0.4">
      <c r="A29" s="91" t="s">
        <v>381</v>
      </c>
      <c r="B29" s="7">
        <v>8915</v>
      </c>
      <c r="C29" s="72">
        <v>0.08</v>
      </c>
      <c r="D29" s="7">
        <v>2505</v>
      </c>
      <c r="E29" s="7">
        <v>2960</v>
      </c>
      <c r="F29" s="7">
        <v>2460</v>
      </c>
      <c r="G29" s="7">
        <v>5865</v>
      </c>
      <c r="H29" s="7">
        <v>1035</v>
      </c>
      <c r="I29" s="72">
        <v>0.28000000000000003</v>
      </c>
      <c r="J29" s="72">
        <v>0.33</v>
      </c>
      <c r="K29" s="72">
        <v>0.28000000000000003</v>
      </c>
      <c r="L29" s="72">
        <v>0.66</v>
      </c>
      <c r="M29" s="72">
        <v>0.12</v>
      </c>
    </row>
    <row r="30" spans="1:13" ht="15" thickBot="1" x14ac:dyDescent="0.4">
      <c r="A30" s="91" t="s">
        <v>382</v>
      </c>
      <c r="B30" s="7">
        <v>760</v>
      </c>
      <c r="C30" s="72">
        <v>0.08</v>
      </c>
      <c r="D30" s="7">
        <v>345</v>
      </c>
      <c r="E30" s="7">
        <v>260</v>
      </c>
      <c r="F30" s="7">
        <v>0</v>
      </c>
      <c r="G30" s="7">
        <v>615</v>
      </c>
      <c r="H30" s="7">
        <v>125</v>
      </c>
      <c r="I30" s="72">
        <v>0.45</v>
      </c>
      <c r="J30" s="72">
        <v>0.34</v>
      </c>
      <c r="K30" s="72">
        <v>0</v>
      </c>
      <c r="L30" s="72">
        <v>0.81</v>
      </c>
      <c r="M30" s="72">
        <v>0.17</v>
      </c>
    </row>
    <row r="31" spans="1:13" ht="15" thickBot="1" x14ac:dyDescent="0.4">
      <c r="A31" s="91" t="s">
        <v>383</v>
      </c>
      <c r="B31" s="7">
        <v>18940</v>
      </c>
      <c r="C31" s="72">
        <v>7.0000000000000007E-2</v>
      </c>
      <c r="D31" s="7">
        <v>6415</v>
      </c>
      <c r="E31" s="7">
        <v>6290</v>
      </c>
      <c r="F31" s="7">
        <v>4170</v>
      </c>
      <c r="G31" s="7">
        <v>9975</v>
      </c>
      <c r="H31" s="7">
        <v>2065</v>
      </c>
      <c r="I31" s="72">
        <v>0.34</v>
      </c>
      <c r="J31" s="72">
        <v>0.33</v>
      </c>
      <c r="K31" s="72">
        <v>0.22</v>
      </c>
      <c r="L31" s="72">
        <v>0.53</v>
      </c>
      <c r="M31" s="72">
        <v>0.11</v>
      </c>
    </row>
    <row r="32" spans="1:13" ht="29.5" thickBot="1" x14ac:dyDescent="0.4">
      <c r="A32" s="91" t="s">
        <v>384</v>
      </c>
      <c r="B32" s="7">
        <v>4480</v>
      </c>
      <c r="C32" s="72">
        <v>0.23</v>
      </c>
      <c r="D32" s="7">
        <v>4305</v>
      </c>
      <c r="E32" s="7">
        <v>0</v>
      </c>
      <c r="F32" s="7">
        <v>0</v>
      </c>
      <c r="G32" s="7">
        <v>0</v>
      </c>
      <c r="H32" s="7">
        <v>175</v>
      </c>
      <c r="I32" s="72">
        <v>0.96</v>
      </c>
      <c r="J32" s="72">
        <v>0</v>
      </c>
      <c r="K32" s="72">
        <v>0</v>
      </c>
      <c r="L32" s="72">
        <v>0</v>
      </c>
      <c r="M32" s="72">
        <v>0.04</v>
      </c>
    </row>
    <row r="33" spans="1:13" ht="29.5" thickBot="1" x14ac:dyDescent="0.4">
      <c r="A33" s="91" t="s">
        <v>385</v>
      </c>
      <c r="B33" s="7">
        <v>33645</v>
      </c>
      <c r="C33" s="72">
        <v>0.26</v>
      </c>
      <c r="D33" s="7">
        <v>8300</v>
      </c>
      <c r="E33" s="7">
        <v>12820</v>
      </c>
      <c r="F33" s="7">
        <v>7280</v>
      </c>
      <c r="G33" s="7">
        <v>13795</v>
      </c>
      <c r="H33" s="7">
        <v>4915</v>
      </c>
      <c r="I33" s="72">
        <v>0.25</v>
      </c>
      <c r="J33" s="72">
        <v>0.38</v>
      </c>
      <c r="K33" s="72">
        <v>0.22</v>
      </c>
      <c r="L33" s="72">
        <v>0.41</v>
      </c>
      <c r="M33" s="72">
        <v>0.15</v>
      </c>
    </row>
    <row r="34" spans="1:13" ht="29.5" thickBot="1" x14ac:dyDescent="0.4">
      <c r="A34" s="91" t="s">
        <v>386</v>
      </c>
      <c r="B34" s="7">
        <v>30425</v>
      </c>
      <c r="C34" s="72">
        <v>0.26</v>
      </c>
      <c r="D34" s="7">
        <v>8450</v>
      </c>
      <c r="E34" s="7">
        <v>9610</v>
      </c>
      <c r="F34" s="7">
        <v>8370</v>
      </c>
      <c r="G34" s="7">
        <v>19395</v>
      </c>
      <c r="H34" s="7">
        <v>4070</v>
      </c>
      <c r="I34" s="72">
        <v>0.28000000000000003</v>
      </c>
      <c r="J34" s="72">
        <v>0.32</v>
      </c>
      <c r="K34" s="72">
        <v>0.28000000000000003</v>
      </c>
      <c r="L34" s="72">
        <v>0.64</v>
      </c>
      <c r="M34" s="72">
        <v>0.13</v>
      </c>
    </row>
    <row r="35" spans="1:13" ht="29.5" thickBot="1" x14ac:dyDescent="0.4">
      <c r="A35" s="91" t="s">
        <v>387</v>
      </c>
      <c r="B35" s="7">
        <v>2640</v>
      </c>
      <c r="C35" s="72">
        <v>0.26</v>
      </c>
      <c r="D35" s="7">
        <v>1205</v>
      </c>
      <c r="E35" s="7">
        <v>865</v>
      </c>
      <c r="F35" s="7">
        <v>0</v>
      </c>
      <c r="G35" s="7">
        <v>2070</v>
      </c>
      <c r="H35" s="7">
        <v>485</v>
      </c>
      <c r="I35" s="72">
        <v>0.46</v>
      </c>
      <c r="J35" s="72">
        <v>0.33</v>
      </c>
      <c r="K35" s="72">
        <v>0</v>
      </c>
      <c r="L35" s="72">
        <v>0.79</v>
      </c>
      <c r="M35" s="72">
        <v>0.18</v>
      </c>
    </row>
    <row r="36" spans="1:13" ht="29.5" thickBot="1" x14ac:dyDescent="0.4">
      <c r="A36" s="91" t="s">
        <v>388</v>
      </c>
      <c r="B36" s="7">
        <v>71190</v>
      </c>
      <c r="C36" s="72">
        <v>0.26</v>
      </c>
      <c r="D36" s="7">
        <v>22265</v>
      </c>
      <c r="E36" s="7">
        <v>23295</v>
      </c>
      <c r="F36" s="7">
        <v>15645</v>
      </c>
      <c r="G36" s="7">
        <v>35260</v>
      </c>
      <c r="H36" s="7">
        <v>9645</v>
      </c>
      <c r="I36" s="72">
        <v>0.31</v>
      </c>
      <c r="J36" s="72">
        <v>0.33</v>
      </c>
      <c r="K36" s="72">
        <v>0.22</v>
      </c>
      <c r="L36" s="72">
        <v>0.5</v>
      </c>
      <c r="M36" s="72">
        <v>0.14000000000000001</v>
      </c>
    </row>
    <row r="37" spans="1:13" ht="15" thickBot="1" x14ac:dyDescent="0.4">
      <c r="A37" s="91" t="s">
        <v>152</v>
      </c>
      <c r="B37" s="7">
        <v>870</v>
      </c>
      <c r="C37" s="72">
        <v>0.04</v>
      </c>
      <c r="D37" s="7">
        <v>840</v>
      </c>
      <c r="E37" s="7">
        <v>0</v>
      </c>
      <c r="F37" s="7">
        <v>0</v>
      </c>
      <c r="G37" s="7">
        <v>0</v>
      </c>
      <c r="H37" s="7">
        <v>30</v>
      </c>
      <c r="I37" s="72">
        <v>0.96</v>
      </c>
      <c r="J37" s="72">
        <v>0</v>
      </c>
      <c r="K37" s="72">
        <v>0</v>
      </c>
      <c r="L37" s="72">
        <v>0</v>
      </c>
      <c r="M37" s="72">
        <v>0.04</v>
      </c>
    </row>
    <row r="38" spans="1:13" ht="15" thickBot="1" x14ac:dyDescent="0.4">
      <c r="A38" s="91" t="s">
        <v>153</v>
      </c>
      <c r="B38" s="7">
        <v>5125</v>
      </c>
      <c r="C38" s="72">
        <v>0.04</v>
      </c>
      <c r="D38" s="7">
        <v>1450</v>
      </c>
      <c r="E38" s="7">
        <v>2060</v>
      </c>
      <c r="F38" s="7">
        <v>1170</v>
      </c>
      <c r="G38" s="7">
        <v>2105</v>
      </c>
      <c r="H38" s="7">
        <v>535</v>
      </c>
      <c r="I38" s="72">
        <v>0.28000000000000003</v>
      </c>
      <c r="J38" s="72">
        <v>0.4</v>
      </c>
      <c r="K38" s="72">
        <v>0.23</v>
      </c>
      <c r="L38" s="72">
        <v>0.41</v>
      </c>
      <c r="M38" s="72">
        <v>0.1</v>
      </c>
    </row>
    <row r="39" spans="1:13" ht="15" thickBot="1" x14ac:dyDescent="0.4">
      <c r="A39" s="91" t="s">
        <v>154</v>
      </c>
      <c r="B39" s="7">
        <v>5570</v>
      </c>
      <c r="C39" s="72">
        <v>0.05</v>
      </c>
      <c r="D39" s="7">
        <v>1595</v>
      </c>
      <c r="E39" s="7">
        <v>1930</v>
      </c>
      <c r="F39" s="7">
        <v>1600</v>
      </c>
      <c r="G39" s="7">
        <v>3610</v>
      </c>
      <c r="H39" s="7">
        <v>660</v>
      </c>
      <c r="I39" s="72">
        <v>0.28999999999999998</v>
      </c>
      <c r="J39" s="72">
        <v>0.35</v>
      </c>
      <c r="K39" s="72">
        <v>0.28999999999999998</v>
      </c>
      <c r="L39" s="72">
        <v>0.65</v>
      </c>
      <c r="M39" s="72">
        <v>0.12</v>
      </c>
    </row>
    <row r="40" spans="1:13" ht="15" thickBot="1" x14ac:dyDescent="0.4">
      <c r="A40" s="91" t="s">
        <v>155</v>
      </c>
      <c r="B40" s="7">
        <v>445</v>
      </c>
      <c r="C40" s="72">
        <v>0.04</v>
      </c>
      <c r="D40" s="7">
        <v>185</v>
      </c>
      <c r="E40" s="7">
        <v>165</v>
      </c>
      <c r="F40" s="7">
        <v>0</v>
      </c>
      <c r="G40" s="7">
        <v>345</v>
      </c>
      <c r="H40" s="7">
        <v>90</v>
      </c>
      <c r="I40" s="72">
        <v>0.42</v>
      </c>
      <c r="J40" s="72">
        <v>0.37</v>
      </c>
      <c r="K40" s="72">
        <v>0</v>
      </c>
      <c r="L40" s="72">
        <v>0.78</v>
      </c>
      <c r="M40" s="72">
        <v>0.2</v>
      </c>
    </row>
    <row r="41" spans="1:13" ht="15" thickBot="1" x14ac:dyDescent="0.4">
      <c r="A41" s="91" t="s">
        <v>257</v>
      </c>
      <c r="B41" s="7">
        <v>12015</v>
      </c>
      <c r="C41" s="72">
        <v>0.04</v>
      </c>
      <c r="D41" s="7">
        <v>4070</v>
      </c>
      <c r="E41" s="7">
        <v>4155</v>
      </c>
      <c r="F41" s="7">
        <v>2770</v>
      </c>
      <c r="G41" s="7">
        <v>6060</v>
      </c>
      <c r="H41" s="7">
        <v>1315</v>
      </c>
      <c r="I41" s="72">
        <v>0.34</v>
      </c>
      <c r="J41" s="72">
        <v>0.35</v>
      </c>
      <c r="K41" s="72">
        <v>0.23</v>
      </c>
      <c r="L41" s="72">
        <v>0.5</v>
      </c>
      <c r="M41" s="72">
        <v>0.11</v>
      </c>
    </row>
    <row r="42" spans="1:13" ht="15" thickBot="1" x14ac:dyDescent="0.4">
      <c r="A42" s="91" t="s">
        <v>389</v>
      </c>
      <c r="B42" s="7">
        <v>2580</v>
      </c>
      <c r="C42" s="72">
        <v>0.13</v>
      </c>
      <c r="D42" s="7">
        <v>2485</v>
      </c>
      <c r="E42" s="7">
        <v>0</v>
      </c>
      <c r="F42" s="7">
        <v>0</v>
      </c>
      <c r="G42" s="7">
        <v>0</v>
      </c>
      <c r="H42" s="7">
        <v>95</v>
      </c>
      <c r="I42" s="72">
        <v>0.96</v>
      </c>
      <c r="J42" s="72">
        <v>0</v>
      </c>
      <c r="K42" s="72">
        <v>0</v>
      </c>
      <c r="L42" s="72">
        <v>0</v>
      </c>
      <c r="M42" s="72">
        <v>0.04</v>
      </c>
    </row>
    <row r="43" spans="1:13" ht="15" thickBot="1" x14ac:dyDescent="0.4">
      <c r="A43" s="91" t="s">
        <v>390</v>
      </c>
      <c r="B43" s="7">
        <v>17155</v>
      </c>
      <c r="C43" s="72">
        <v>0.13</v>
      </c>
      <c r="D43" s="7">
        <v>4480</v>
      </c>
      <c r="E43" s="7">
        <v>6600</v>
      </c>
      <c r="F43" s="7">
        <v>3775</v>
      </c>
      <c r="G43" s="7">
        <v>7010</v>
      </c>
      <c r="H43" s="7">
        <v>2275</v>
      </c>
      <c r="I43" s="72">
        <v>0.26</v>
      </c>
      <c r="J43" s="72">
        <v>0.38</v>
      </c>
      <c r="K43" s="72">
        <v>0.22</v>
      </c>
      <c r="L43" s="72">
        <v>0.41</v>
      </c>
      <c r="M43" s="72">
        <v>0.13</v>
      </c>
    </row>
    <row r="44" spans="1:13" ht="15" thickBot="1" x14ac:dyDescent="0.4">
      <c r="A44" s="91" t="s">
        <v>391</v>
      </c>
      <c r="B44" s="7">
        <v>16400</v>
      </c>
      <c r="C44" s="72">
        <v>0.14000000000000001</v>
      </c>
      <c r="D44" s="7">
        <v>4745</v>
      </c>
      <c r="E44" s="7">
        <v>5375</v>
      </c>
      <c r="F44" s="7">
        <v>4465</v>
      </c>
      <c r="G44" s="7">
        <v>10670</v>
      </c>
      <c r="H44" s="7">
        <v>1995</v>
      </c>
      <c r="I44" s="72">
        <v>0.28999999999999998</v>
      </c>
      <c r="J44" s="72">
        <v>0.33</v>
      </c>
      <c r="K44" s="72">
        <v>0.27</v>
      </c>
      <c r="L44" s="72">
        <v>0.65</v>
      </c>
      <c r="M44" s="72">
        <v>0.12</v>
      </c>
    </row>
    <row r="45" spans="1:13" ht="15" thickBot="1" x14ac:dyDescent="0.4">
      <c r="A45" s="91" t="s">
        <v>392</v>
      </c>
      <c r="B45" s="7">
        <v>1460</v>
      </c>
      <c r="C45" s="72">
        <v>0.14000000000000001</v>
      </c>
      <c r="D45" s="7">
        <v>720</v>
      </c>
      <c r="E45" s="7">
        <v>515</v>
      </c>
      <c r="F45" s="7">
        <v>0</v>
      </c>
      <c r="G45" s="7">
        <v>1190</v>
      </c>
      <c r="H45" s="7">
        <v>230</v>
      </c>
      <c r="I45" s="72">
        <v>0.49</v>
      </c>
      <c r="J45" s="72">
        <v>0.35</v>
      </c>
      <c r="K45" s="72">
        <v>0</v>
      </c>
      <c r="L45" s="72">
        <v>0.82</v>
      </c>
      <c r="M45" s="72">
        <v>0.16</v>
      </c>
    </row>
    <row r="46" spans="1:13" ht="15" thickBot="1" x14ac:dyDescent="0.4">
      <c r="A46" s="91" t="s">
        <v>393</v>
      </c>
      <c r="B46" s="7">
        <v>37590</v>
      </c>
      <c r="C46" s="72">
        <v>0.14000000000000001</v>
      </c>
      <c r="D46" s="7">
        <v>12425</v>
      </c>
      <c r="E46" s="7">
        <v>12485</v>
      </c>
      <c r="F46" s="7">
        <v>8240</v>
      </c>
      <c r="G46" s="7">
        <v>18870</v>
      </c>
      <c r="H46" s="7">
        <v>4595</v>
      </c>
      <c r="I46" s="72">
        <v>0.33</v>
      </c>
      <c r="J46" s="72">
        <v>0.33</v>
      </c>
      <c r="K46" s="72">
        <v>0.22</v>
      </c>
      <c r="L46" s="72">
        <v>0.5</v>
      </c>
      <c r="M46" s="72">
        <v>0.12</v>
      </c>
    </row>
    <row r="47" spans="1:13" ht="15" thickBot="1" x14ac:dyDescent="0.4">
      <c r="A47" s="91" t="s">
        <v>394</v>
      </c>
      <c r="B47" s="7">
        <v>2345</v>
      </c>
      <c r="C47" s="72">
        <v>0.12</v>
      </c>
      <c r="D47" s="7">
        <v>2270</v>
      </c>
      <c r="E47" s="7">
        <v>0</v>
      </c>
      <c r="F47" s="7">
        <v>0</v>
      </c>
      <c r="G47" s="7">
        <v>0</v>
      </c>
      <c r="H47" s="7">
        <v>75</v>
      </c>
      <c r="I47" s="72">
        <v>0.97</v>
      </c>
      <c r="J47" s="72">
        <v>0</v>
      </c>
      <c r="K47" s="72">
        <v>0</v>
      </c>
      <c r="L47" s="72">
        <v>0</v>
      </c>
      <c r="M47" s="72">
        <v>0.03</v>
      </c>
    </row>
    <row r="48" spans="1:13" ht="15" thickBot="1" x14ac:dyDescent="0.4">
      <c r="A48" s="91" t="s">
        <v>395</v>
      </c>
      <c r="B48" s="7">
        <v>16275</v>
      </c>
      <c r="C48" s="72">
        <v>0.13</v>
      </c>
      <c r="D48" s="7">
        <v>4005</v>
      </c>
      <c r="E48" s="7">
        <v>6425</v>
      </c>
      <c r="F48" s="7">
        <v>3730</v>
      </c>
      <c r="G48" s="7">
        <v>6795</v>
      </c>
      <c r="H48" s="7">
        <v>2035</v>
      </c>
      <c r="I48" s="72">
        <v>0.25</v>
      </c>
      <c r="J48" s="72">
        <v>0.39</v>
      </c>
      <c r="K48" s="72">
        <v>0.23</v>
      </c>
      <c r="L48" s="72">
        <v>0.42</v>
      </c>
      <c r="M48" s="72">
        <v>0.12</v>
      </c>
    </row>
    <row r="49" spans="1:13" ht="15" thickBot="1" x14ac:dyDescent="0.4">
      <c r="A49" s="91" t="s">
        <v>396</v>
      </c>
      <c r="B49" s="7">
        <v>16540</v>
      </c>
      <c r="C49" s="72">
        <v>0.14000000000000001</v>
      </c>
      <c r="D49" s="7">
        <v>4630</v>
      </c>
      <c r="E49" s="7">
        <v>5360</v>
      </c>
      <c r="F49" s="7">
        <v>4845</v>
      </c>
      <c r="G49" s="7">
        <v>10570</v>
      </c>
      <c r="H49" s="7">
        <v>1970</v>
      </c>
      <c r="I49" s="72">
        <v>0.28000000000000003</v>
      </c>
      <c r="J49" s="72">
        <v>0.32</v>
      </c>
      <c r="K49" s="72">
        <v>0.28999999999999998</v>
      </c>
      <c r="L49" s="72">
        <v>0.64</v>
      </c>
      <c r="M49" s="72">
        <v>0.12</v>
      </c>
    </row>
    <row r="50" spans="1:13" ht="15" thickBot="1" x14ac:dyDescent="0.4">
      <c r="A50" s="91" t="s">
        <v>397</v>
      </c>
      <c r="B50" s="7">
        <v>1465</v>
      </c>
      <c r="C50" s="72">
        <v>0.14000000000000001</v>
      </c>
      <c r="D50" s="7">
        <v>690</v>
      </c>
      <c r="E50" s="7">
        <v>520</v>
      </c>
      <c r="F50" s="7">
        <v>0</v>
      </c>
      <c r="G50" s="7">
        <v>1175</v>
      </c>
      <c r="H50" s="7">
        <v>225</v>
      </c>
      <c r="I50" s="72">
        <v>0.47</v>
      </c>
      <c r="J50" s="72">
        <v>0.36</v>
      </c>
      <c r="K50" s="72">
        <v>0</v>
      </c>
      <c r="L50" s="72">
        <v>0.8</v>
      </c>
      <c r="M50" s="72">
        <v>0.15</v>
      </c>
    </row>
    <row r="51" spans="1:13" ht="15" thickBot="1" x14ac:dyDescent="0.4">
      <c r="A51" s="91" t="s">
        <v>398</v>
      </c>
      <c r="B51" s="7">
        <v>36625</v>
      </c>
      <c r="C51" s="72">
        <v>0.13</v>
      </c>
      <c r="D51" s="7">
        <v>11590</v>
      </c>
      <c r="E51" s="7">
        <v>12305</v>
      </c>
      <c r="F51" s="7">
        <v>8575</v>
      </c>
      <c r="G51" s="7">
        <v>18540</v>
      </c>
      <c r="H51" s="7">
        <v>4300</v>
      </c>
      <c r="I51" s="72">
        <v>0.32</v>
      </c>
      <c r="J51" s="72">
        <v>0.34</v>
      </c>
      <c r="K51" s="72">
        <v>0.23</v>
      </c>
      <c r="L51" s="72">
        <v>0.51</v>
      </c>
      <c r="M51" s="72">
        <v>0.12</v>
      </c>
    </row>
    <row r="52" spans="1:13" ht="15" thickBot="1" x14ac:dyDescent="0.4">
      <c r="A52" s="91" t="s">
        <v>172</v>
      </c>
      <c r="B52" s="7">
        <v>40</v>
      </c>
      <c r="C52" s="72">
        <v>0</v>
      </c>
      <c r="D52" s="7">
        <v>30</v>
      </c>
      <c r="E52" s="7">
        <v>0</v>
      </c>
      <c r="F52" s="7">
        <v>0</v>
      </c>
      <c r="G52" s="7">
        <v>0</v>
      </c>
      <c r="H52" s="7">
        <v>5</v>
      </c>
      <c r="I52" s="72">
        <v>0.82</v>
      </c>
      <c r="J52" s="72">
        <v>0</v>
      </c>
      <c r="K52" s="72">
        <v>0</v>
      </c>
      <c r="L52" s="72">
        <v>0</v>
      </c>
      <c r="M52" s="72">
        <v>0.18</v>
      </c>
    </row>
    <row r="53" spans="1:13" ht="15" thickBot="1" x14ac:dyDescent="0.4">
      <c r="A53" s="91" t="s">
        <v>173</v>
      </c>
      <c r="B53" s="7">
        <v>155</v>
      </c>
      <c r="C53" s="72">
        <v>0</v>
      </c>
      <c r="D53" s="7">
        <v>60</v>
      </c>
      <c r="E53" s="7">
        <v>50</v>
      </c>
      <c r="F53" s="7">
        <v>20</v>
      </c>
      <c r="G53" s="7">
        <v>65</v>
      </c>
      <c r="H53" s="7">
        <v>30</v>
      </c>
      <c r="I53" s="72">
        <v>0.38</v>
      </c>
      <c r="J53" s="72">
        <v>0.32</v>
      </c>
      <c r="K53" s="72">
        <v>0.14000000000000001</v>
      </c>
      <c r="L53" s="72">
        <v>0.42</v>
      </c>
      <c r="M53" s="72">
        <v>0.19</v>
      </c>
    </row>
    <row r="54" spans="1:13" ht="15" thickBot="1" x14ac:dyDescent="0.4">
      <c r="A54" s="91" t="s">
        <v>174</v>
      </c>
      <c r="B54" s="7">
        <v>205</v>
      </c>
      <c r="C54" s="72">
        <v>0</v>
      </c>
      <c r="D54" s="7">
        <v>60</v>
      </c>
      <c r="E54" s="7">
        <v>55</v>
      </c>
      <c r="F54" s="7">
        <v>35</v>
      </c>
      <c r="G54" s="7">
        <v>130</v>
      </c>
      <c r="H54" s="7">
        <v>40</v>
      </c>
      <c r="I54" s="72">
        <v>0.3</v>
      </c>
      <c r="J54" s="72">
        <v>0.28000000000000003</v>
      </c>
      <c r="K54" s="72">
        <v>0.17</v>
      </c>
      <c r="L54" s="72">
        <v>0.63</v>
      </c>
      <c r="M54" s="72">
        <v>0.2</v>
      </c>
    </row>
    <row r="55" spans="1:13" ht="15" thickBot="1" x14ac:dyDescent="0.4">
      <c r="A55" s="91" t="s">
        <v>175</v>
      </c>
      <c r="B55" s="7">
        <v>45</v>
      </c>
      <c r="C55" s="72">
        <v>0</v>
      </c>
      <c r="D55" s="7">
        <v>15</v>
      </c>
      <c r="E55" s="7">
        <v>10</v>
      </c>
      <c r="F55" s="7">
        <v>0</v>
      </c>
      <c r="G55" s="7">
        <v>30</v>
      </c>
      <c r="H55" s="7">
        <v>10</v>
      </c>
      <c r="I55" s="72">
        <v>0.37</v>
      </c>
      <c r="J55" s="72">
        <v>0.26</v>
      </c>
      <c r="K55" s="72">
        <v>0</v>
      </c>
      <c r="L55" s="72">
        <v>0.72</v>
      </c>
      <c r="M55" s="72">
        <v>0.23</v>
      </c>
    </row>
    <row r="56" spans="1:13" ht="15" thickBot="1" x14ac:dyDescent="0.4">
      <c r="A56" s="91" t="s">
        <v>262</v>
      </c>
      <c r="B56" s="7">
        <v>440</v>
      </c>
      <c r="C56" s="72">
        <v>0</v>
      </c>
      <c r="D56" s="7">
        <v>165</v>
      </c>
      <c r="E56" s="7">
        <v>115</v>
      </c>
      <c r="F56" s="7">
        <v>55</v>
      </c>
      <c r="G56" s="7">
        <v>225</v>
      </c>
      <c r="H56" s="7">
        <v>90</v>
      </c>
      <c r="I56" s="72">
        <v>0.38</v>
      </c>
      <c r="J56" s="72">
        <v>0.26</v>
      </c>
      <c r="K56" s="72">
        <v>0.13</v>
      </c>
      <c r="L56" s="72">
        <v>0.51</v>
      </c>
      <c r="M56" s="72">
        <v>0.2</v>
      </c>
    </row>
    <row r="57" spans="1:13" ht="29.5" thickBot="1" x14ac:dyDescent="0.4">
      <c r="A57" s="91" t="s">
        <v>237</v>
      </c>
      <c r="B57" s="7">
        <v>1895</v>
      </c>
      <c r="C57" s="72">
        <v>0.1</v>
      </c>
      <c r="D57" s="7">
        <v>1845</v>
      </c>
      <c r="E57" s="7">
        <v>0</v>
      </c>
      <c r="F57" s="7">
        <v>0</v>
      </c>
      <c r="G57" s="7">
        <v>0</v>
      </c>
      <c r="H57" s="7">
        <v>50</v>
      </c>
      <c r="I57" s="72">
        <v>0.97</v>
      </c>
      <c r="J57" s="72">
        <v>0</v>
      </c>
      <c r="K57" s="72">
        <v>0</v>
      </c>
      <c r="L57" s="72">
        <v>0</v>
      </c>
      <c r="M57" s="72">
        <v>0.03</v>
      </c>
    </row>
    <row r="58" spans="1:13" ht="29.5" thickBot="1" x14ac:dyDescent="0.4">
      <c r="A58" s="91" t="s">
        <v>238</v>
      </c>
      <c r="B58" s="7">
        <v>6220</v>
      </c>
      <c r="C58" s="72">
        <v>0.05</v>
      </c>
      <c r="D58" s="7">
        <v>3735</v>
      </c>
      <c r="E58" s="7">
        <v>1490</v>
      </c>
      <c r="F58" s="7">
        <v>550</v>
      </c>
      <c r="G58" s="7">
        <v>3525</v>
      </c>
      <c r="H58" s="7">
        <v>525</v>
      </c>
      <c r="I58" s="72">
        <v>0.6</v>
      </c>
      <c r="J58" s="72">
        <v>0.24</v>
      </c>
      <c r="K58" s="72">
        <v>0.09</v>
      </c>
      <c r="L58" s="72">
        <v>0.56999999999999995</v>
      </c>
      <c r="M58" s="72">
        <v>0.08</v>
      </c>
    </row>
    <row r="59" spans="1:13" ht="29.5" thickBot="1" x14ac:dyDescent="0.4">
      <c r="A59" s="91" t="s">
        <v>239</v>
      </c>
      <c r="B59" s="7">
        <v>1875</v>
      </c>
      <c r="C59" s="72">
        <v>0.02</v>
      </c>
      <c r="D59" s="7">
        <v>1110</v>
      </c>
      <c r="E59" s="7">
        <v>430</v>
      </c>
      <c r="F59" s="7">
        <v>120</v>
      </c>
      <c r="G59" s="7">
        <v>1605</v>
      </c>
      <c r="H59" s="7">
        <v>155</v>
      </c>
      <c r="I59" s="72">
        <v>0.59</v>
      </c>
      <c r="J59" s="72">
        <v>0.23</v>
      </c>
      <c r="K59" s="72">
        <v>7.0000000000000007E-2</v>
      </c>
      <c r="L59" s="72">
        <v>0.86</v>
      </c>
      <c r="M59" s="72">
        <v>0.08</v>
      </c>
    </row>
    <row r="60" spans="1:13" ht="29.5" thickBot="1" x14ac:dyDescent="0.4">
      <c r="A60" s="91" t="s">
        <v>240</v>
      </c>
      <c r="B60" s="7">
        <v>30</v>
      </c>
      <c r="C60" s="72">
        <v>0</v>
      </c>
      <c r="D60" s="7">
        <v>15</v>
      </c>
      <c r="E60" s="7">
        <v>5</v>
      </c>
      <c r="F60" s="7">
        <v>0</v>
      </c>
      <c r="G60" s="7">
        <v>25</v>
      </c>
      <c r="H60" s="7">
        <v>5</v>
      </c>
      <c r="I60" s="72">
        <v>0.53</v>
      </c>
      <c r="J60" s="72">
        <v>0.2</v>
      </c>
      <c r="K60" s="72">
        <v>0</v>
      </c>
      <c r="L60" s="72">
        <v>0.83</v>
      </c>
      <c r="M60" s="72">
        <v>0.17</v>
      </c>
    </row>
    <row r="61" spans="1:13" ht="15" thickBot="1" x14ac:dyDescent="0.4">
      <c r="A61" s="91" t="s">
        <v>276</v>
      </c>
      <c r="B61" s="7">
        <v>10025</v>
      </c>
      <c r="C61" s="72">
        <v>0.04</v>
      </c>
      <c r="D61" s="7">
        <v>6705</v>
      </c>
      <c r="E61" s="7">
        <v>1925</v>
      </c>
      <c r="F61" s="7">
        <v>670</v>
      </c>
      <c r="G61" s="7">
        <v>5155</v>
      </c>
      <c r="H61" s="7">
        <v>740</v>
      </c>
      <c r="I61" s="72">
        <v>0.67</v>
      </c>
      <c r="J61" s="72">
        <v>0.19</v>
      </c>
      <c r="K61" s="72">
        <v>7.0000000000000007E-2</v>
      </c>
      <c r="L61" s="72">
        <v>0.51</v>
      </c>
      <c r="M61" s="72">
        <v>7.0000000000000007E-2</v>
      </c>
    </row>
    <row r="62" spans="1:13" ht="15" thickBot="1" x14ac:dyDescent="0.4">
      <c r="A62" s="91" t="s">
        <v>399</v>
      </c>
      <c r="B62" s="7">
        <v>60</v>
      </c>
      <c r="C62" s="72">
        <v>0</v>
      </c>
      <c r="D62" s="7">
        <v>60</v>
      </c>
      <c r="E62" s="7">
        <v>0</v>
      </c>
      <c r="F62" s="7">
        <v>0</v>
      </c>
      <c r="G62" s="7">
        <v>0</v>
      </c>
      <c r="H62" s="7" t="s">
        <v>486</v>
      </c>
      <c r="I62" s="72" t="s">
        <v>486</v>
      </c>
      <c r="J62" s="72">
        <v>0</v>
      </c>
      <c r="K62" s="72">
        <v>0</v>
      </c>
      <c r="L62" s="72">
        <v>0</v>
      </c>
      <c r="M62" s="72" t="s">
        <v>486</v>
      </c>
    </row>
    <row r="63" spans="1:13" ht="15" thickBot="1" x14ac:dyDescent="0.4">
      <c r="A63" s="91" t="s">
        <v>400</v>
      </c>
      <c r="B63" s="7">
        <v>215</v>
      </c>
      <c r="C63" s="72">
        <v>0</v>
      </c>
      <c r="D63" s="7">
        <v>70</v>
      </c>
      <c r="E63" s="7">
        <v>90</v>
      </c>
      <c r="F63" s="7">
        <v>60</v>
      </c>
      <c r="G63" s="7">
        <v>100</v>
      </c>
      <c r="H63" s="7">
        <v>15</v>
      </c>
      <c r="I63" s="72">
        <v>0.33</v>
      </c>
      <c r="J63" s="72">
        <v>0.41</v>
      </c>
      <c r="K63" s="72">
        <v>0.27</v>
      </c>
      <c r="L63" s="72">
        <v>0.46</v>
      </c>
      <c r="M63" s="72">
        <v>7.0000000000000007E-2</v>
      </c>
    </row>
    <row r="64" spans="1:13" ht="15" thickBot="1" x14ac:dyDescent="0.4">
      <c r="A64" s="91" t="s">
        <v>401</v>
      </c>
      <c r="B64" s="7">
        <v>285</v>
      </c>
      <c r="C64" s="72">
        <v>0</v>
      </c>
      <c r="D64" s="7">
        <v>75</v>
      </c>
      <c r="E64" s="7">
        <v>95</v>
      </c>
      <c r="F64" s="7">
        <v>95</v>
      </c>
      <c r="G64" s="7">
        <v>185</v>
      </c>
      <c r="H64" s="7">
        <v>30</v>
      </c>
      <c r="I64" s="72">
        <v>0.26</v>
      </c>
      <c r="J64" s="72">
        <v>0.33</v>
      </c>
      <c r="K64" s="72">
        <v>0.33</v>
      </c>
      <c r="L64" s="72">
        <v>0.65</v>
      </c>
      <c r="M64" s="72">
        <v>0.1</v>
      </c>
    </row>
    <row r="65" spans="1:13" ht="15" thickBot="1" x14ac:dyDescent="0.4">
      <c r="A65" s="91" t="s">
        <v>402</v>
      </c>
      <c r="B65" s="7">
        <v>10</v>
      </c>
      <c r="C65" s="72">
        <v>0</v>
      </c>
      <c r="D65" s="7" t="s">
        <v>486</v>
      </c>
      <c r="E65" s="7">
        <v>5</v>
      </c>
      <c r="F65" s="7">
        <v>0</v>
      </c>
      <c r="G65" s="7">
        <v>5</v>
      </c>
      <c r="H65" s="7" t="s">
        <v>486</v>
      </c>
      <c r="I65" s="72" t="s">
        <v>486</v>
      </c>
      <c r="J65" s="72">
        <v>0.4</v>
      </c>
      <c r="K65" s="72">
        <v>0</v>
      </c>
      <c r="L65" s="72">
        <v>0.7</v>
      </c>
      <c r="M65" s="72" t="s">
        <v>486</v>
      </c>
    </row>
    <row r="66" spans="1:13" ht="15" thickBot="1" x14ac:dyDescent="0.4">
      <c r="A66" s="91" t="s">
        <v>403</v>
      </c>
      <c r="B66" s="7">
        <v>575</v>
      </c>
      <c r="C66" s="72">
        <v>0</v>
      </c>
      <c r="D66" s="7">
        <v>205</v>
      </c>
      <c r="E66" s="7">
        <v>190</v>
      </c>
      <c r="F66" s="7">
        <v>150</v>
      </c>
      <c r="G66" s="7">
        <v>295</v>
      </c>
      <c r="H66" s="7">
        <v>45</v>
      </c>
      <c r="I66" s="72">
        <v>0.36</v>
      </c>
      <c r="J66" s="72">
        <v>0.33</v>
      </c>
      <c r="K66" s="72">
        <v>0.27</v>
      </c>
      <c r="L66" s="72">
        <v>0.51</v>
      </c>
      <c r="M66" s="72">
        <v>0.08</v>
      </c>
    </row>
    <row r="67" spans="1:13" ht="15" thickBot="1" x14ac:dyDescent="0.4">
      <c r="A67" s="91" t="s">
        <v>404</v>
      </c>
      <c r="B67" s="7">
        <v>35</v>
      </c>
      <c r="C67" s="72">
        <v>0</v>
      </c>
      <c r="D67" s="7">
        <v>35</v>
      </c>
      <c r="E67" s="7">
        <v>0</v>
      </c>
      <c r="F67" s="7">
        <v>0</v>
      </c>
      <c r="G67" s="7">
        <v>0</v>
      </c>
      <c r="H67" s="7" t="s">
        <v>486</v>
      </c>
      <c r="I67" s="72" t="s">
        <v>486</v>
      </c>
      <c r="J67" s="72">
        <v>0</v>
      </c>
      <c r="K67" s="72">
        <v>0</v>
      </c>
      <c r="L67" s="72">
        <v>0</v>
      </c>
      <c r="M67" s="72" t="s">
        <v>486</v>
      </c>
    </row>
    <row r="68" spans="1:13" ht="15" thickBot="1" x14ac:dyDescent="0.4">
      <c r="A68" s="91" t="s">
        <v>405</v>
      </c>
      <c r="B68" s="7">
        <v>245</v>
      </c>
      <c r="C68" s="72">
        <v>0</v>
      </c>
      <c r="D68" s="7">
        <v>65</v>
      </c>
      <c r="E68" s="7">
        <v>120</v>
      </c>
      <c r="F68" s="7">
        <v>60</v>
      </c>
      <c r="G68" s="7">
        <v>105</v>
      </c>
      <c r="H68" s="7">
        <v>15</v>
      </c>
      <c r="I68" s="72">
        <v>0.27</v>
      </c>
      <c r="J68" s="72">
        <v>0.49</v>
      </c>
      <c r="K68" s="72">
        <v>0.25</v>
      </c>
      <c r="L68" s="72">
        <v>0.42</v>
      </c>
      <c r="M68" s="72">
        <v>0.06</v>
      </c>
    </row>
    <row r="69" spans="1:13" ht="15" thickBot="1" x14ac:dyDescent="0.4">
      <c r="A69" s="91" t="s">
        <v>406</v>
      </c>
      <c r="B69" s="7">
        <v>235</v>
      </c>
      <c r="C69" s="72">
        <v>0</v>
      </c>
      <c r="D69" s="7">
        <v>60</v>
      </c>
      <c r="E69" s="7">
        <v>80</v>
      </c>
      <c r="F69" s="7">
        <v>70</v>
      </c>
      <c r="G69" s="7">
        <v>155</v>
      </c>
      <c r="H69" s="7">
        <v>30</v>
      </c>
      <c r="I69" s="72">
        <v>0.25</v>
      </c>
      <c r="J69" s="72">
        <v>0.35</v>
      </c>
      <c r="K69" s="72">
        <v>0.28999999999999998</v>
      </c>
      <c r="L69" s="72">
        <v>0.67</v>
      </c>
      <c r="M69" s="72">
        <v>0.12</v>
      </c>
    </row>
    <row r="70" spans="1:13" ht="15" thickBot="1" x14ac:dyDescent="0.4">
      <c r="A70" s="91" t="s">
        <v>407</v>
      </c>
      <c r="B70" s="7">
        <v>15</v>
      </c>
      <c r="C70" s="72">
        <v>0</v>
      </c>
      <c r="D70" s="7">
        <v>10</v>
      </c>
      <c r="E70" s="7">
        <v>5</v>
      </c>
      <c r="F70" s="7">
        <v>0</v>
      </c>
      <c r="G70" s="7">
        <v>15</v>
      </c>
      <c r="H70" s="7" t="s">
        <v>486</v>
      </c>
      <c r="I70" s="72">
        <v>0.56000000000000005</v>
      </c>
      <c r="J70" s="72" t="s">
        <v>486</v>
      </c>
      <c r="K70" s="72">
        <v>0</v>
      </c>
      <c r="L70" s="72">
        <v>0.88</v>
      </c>
      <c r="M70" s="72" t="s">
        <v>486</v>
      </c>
    </row>
    <row r="71" spans="1:13" ht="15" thickBot="1" x14ac:dyDescent="0.4">
      <c r="A71" s="91" t="s">
        <v>408</v>
      </c>
      <c r="B71" s="7">
        <v>530</v>
      </c>
      <c r="C71" s="72">
        <v>0</v>
      </c>
      <c r="D71" s="7">
        <v>170</v>
      </c>
      <c r="E71" s="7">
        <v>205</v>
      </c>
      <c r="F71" s="7">
        <v>130</v>
      </c>
      <c r="G71" s="7">
        <v>275</v>
      </c>
      <c r="H71" s="7">
        <v>45</v>
      </c>
      <c r="I71" s="72">
        <v>0.32</v>
      </c>
      <c r="J71" s="72">
        <v>0.39</v>
      </c>
      <c r="K71" s="72">
        <v>0.24</v>
      </c>
      <c r="L71" s="72">
        <v>0.52</v>
      </c>
      <c r="M71" s="72">
        <v>0.09</v>
      </c>
    </row>
    <row r="72" spans="1:13" ht="15" thickBot="1" x14ac:dyDescent="0.4">
      <c r="A72" s="91" t="s">
        <v>409</v>
      </c>
      <c r="B72" s="7">
        <v>1370</v>
      </c>
      <c r="C72" s="72">
        <v>7.0000000000000007E-2</v>
      </c>
      <c r="D72" s="7">
        <v>1330</v>
      </c>
      <c r="E72" s="7">
        <v>0</v>
      </c>
      <c r="F72" s="7">
        <v>0</v>
      </c>
      <c r="G72" s="7">
        <v>0</v>
      </c>
      <c r="H72" s="7">
        <v>35</v>
      </c>
      <c r="I72" s="72">
        <v>0.97</v>
      </c>
      <c r="J72" s="72">
        <v>0</v>
      </c>
      <c r="K72" s="72">
        <v>0</v>
      </c>
      <c r="L72" s="72">
        <v>0</v>
      </c>
      <c r="M72" s="72">
        <v>0.03</v>
      </c>
    </row>
    <row r="73" spans="1:13" ht="15" thickBot="1" x14ac:dyDescent="0.4">
      <c r="A73" s="91" t="s">
        <v>410</v>
      </c>
      <c r="B73" s="7">
        <v>9115</v>
      </c>
      <c r="C73" s="72">
        <v>7.0000000000000007E-2</v>
      </c>
      <c r="D73" s="7">
        <v>2395</v>
      </c>
      <c r="E73" s="7">
        <v>3670</v>
      </c>
      <c r="F73" s="7">
        <v>2085</v>
      </c>
      <c r="G73" s="7">
        <v>3920</v>
      </c>
      <c r="H73" s="7">
        <v>1060</v>
      </c>
      <c r="I73" s="72">
        <v>0.26</v>
      </c>
      <c r="J73" s="72">
        <v>0.4</v>
      </c>
      <c r="K73" s="72">
        <v>0.23</v>
      </c>
      <c r="L73" s="72">
        <v>0.43</v>
      </c>
      <c r="M73" s="72">
        <v>0.12</v>
      </c>
    </row>
    <row r="74" spans="1:13" ht="15" thickBot="1" x14ac:dyDescent="0.4">
      <c r="A74" s="91" t="s">
        <v>411</v>
      </c>
      <c r="B74" s="7">
        <v>8505</v>
      </c>
      <c r="C74" s="72">
        <v>7.0000000000000007E-2</v>
      </c>
      <c r="D74" s="7">
        <v>2370</v>
      </c>
      <c r="E74" s="7">
        <v>2765</v>
      </c>
      <c r="F74" s="7">
        <v>2500</v>
      </c>
      <c r="G74" s="7">
        <v>5560</v>
      </c>
      <c r="H74" s="7">
        <v>970</v>
      </c>
      <c r="I74" s="72">
        <v>0.28000000000000003</v>
      </c>
      <c r="J74" s="72">
        <v>0.33</v>
      </c>
      <c r="K74" s="72">
        <v>0.28999999999999998</v>
      </c>
      <c r="L74" s="72">
        <v>0.65</v>
      </c>
      <c r="M74" s="72">
        <v>0.11</v>
      </c>
    </row>
    <row r="75" spans="1:13" ht="15" thickBot="1" x14ac:dyDescent="0.4">
      <c r="A75" s="91" t="s">
        <v>412</v>
      </c>
      <c r="B75" s="7">
        <v>720</v>
      </c>
      <c r="C75" s="72">
        <v>7.0000000000000007E-2</v>
      </c>
      <c r="D75" s="7">
        <v>345</v>
      </c>
      <c r="E75" s="7">
        <v>265</v>
      </c>
      <c r="F75" s="7">
        <v>0</v>
      </c>
      <c r="G75" s="7">
        <v>610</v>
      </c>
      <c r="H75" s="7">
        <v>90</v>
      </c>
      <c r="I75" s="72">
        <v>0.48</v>
      </c>
      <c r="J75" s="72">
        <v>0.37</v>
      </c>
      <c r="K75" s="72">
        <v>0</v>
      </c>
      <c r="L75" s="72">
        <v>0.85</v>
      </c>
      <c r="M75" s="72">
        <v>0.13</v>
      </c>
    </row>
    <row r="76" spans="1:13" ht="15" thickBot="1" x14ac:dyDescent="0.4">
      <c r="A76" s="91" t="s">
        <v>413</v>
      </c>
      <c r="B76" s="7">
        <v>19705</v>
      </c>
      <c r="C76" s="72">
        <v>7.0000000000000007E-2</v>
      </c>
      <c r="D76" s="7">
        <v>6440</v>
      </c>
      <c r="E76" s="7">
        <v>6705</v>
      </c>
      <c r="F76" s="7">
        <v>4585</v>
      </c>
      <c r="G76" s="7">
        <v>10090</v>
      </c>
      <c r="H76" s="7">
        <v>2155</v>
      </c>
      <c r="I76" s="72">
        <v>0.33</v>
      </c>
      <c r="J76" s="72">
        <v>0.34</v>
      </c>
      <c r="K76" s="72">
        <v>0.23</v>
      </c>
      <c r="L76" s="72">
        <v>0.51</v>
      </c>
      <c r="M76" s="72">
        <v>0.11</v>
      </c>
    </row>
    <row r="77" spans="1:13" ht="15" thickBot="1" x14ac:dyDescent="0.4">
      <c r="A77" s="91" t="s">
        <v>216</v>
      </c>
      <c r="B77" s="7">
        <v>19480</v>
      </c>
      <c r="C77" s="72">
        <v>1</v>
      </c>
      <c r="D77" s="7">
        <v>18775</v>
      </c>
      <c r="E77" s="7">
        <v>0</v>
      </c>
      <c r="F77" s="7">
        <v>0</v>
      </c>
      <c r="G77" s="7">
        <v>0</v>
      </c>
      <c r="H77" s="7">
        <v>705</v>
      </c>
      <c r="I77" s="72">
        <v>0.96</v>
      </c>
      <c r="J77" s="72">
        <v>0</v>
      </c>
      <c r="K77" s="72">
        <v>0</v>
      </c>
      <c r="L77" s="72">
        <v>0</v>
      </c>
      <c r="M77" s="72">
        <v>0.04</v>
      </c>
    </row>
    <row r="78" spans="1:13" ht="15" thickBot="1" x14ac:dyDescent="0.4">
      <c r="A78" s="91" t="s">
        <v>217</v>
      </c>
      <c r="B78" s="7">
        <v>128070</v>
      </c>
      <c r="C78" s="72">
        <v>1</v>
      </c>
      <c r="D78" s="7">
        <v>35235</v>
      </c>
      <c r="E78" s="7">
        <v>49305</v>
      </c>
      <c r="F78" s="7">
        <v>27285</v>
      </c>
      <c r="G78" s="7">
        <v>54660</v>
      </c>
      <c r="H78" s="7">
        <v>16065</v>
      </c>
      <c r="I78" s="72">
        <v>0.28000000000000003</v>
      </c>
      <c r="J78" s="72">
        <v>0.38</v>
      </c>
      <c r="K78" s="72">
        <v>0.21</v>
      </c>
      <c r="L78" s="72">
        <v>0.43</v>
      </c>
      <c r="M78" s="72">
        <v>0.13</v>
      </c>
    </row>
    <row r="79" spans="1:13" ht="15" thickBot="1" x14ac:dyDescent="0.4">
      <c r="A79" s="91" t="s">
        <v>218</v>
      </c>
      <c r="B79" s="7">
        <v>118545</v>
      </c>
      <c r="C79" s="72">
        <v>1</v>
      </c>
      <c r="D79" s="7">
        <v>34075</v>
      </c>
      <c r="E79" s="7">
        <v>38465</v>
      </c>
      <c r="F79" s="7">
        <v>33155</v>
      </c>
      <c r="G79" s="7">
        <v>76945</v>
      </c>
      <c r="H79" s="7">
        <v>14285</v>
      </c>
      <c r="I79" s="72">
        <v>0.28999999999999998</v>
      </c>
      <c r="J79" s="72">
        <v>0.32</v>
      </c>
      <c r="K79" s="72">
        <v>0.28000000000000003</v>
      </c>
      <c r="L79" s="72">
        <v>0.65</v>
      </c>
      <c r="M79" s="72">
        <v>0.12</v>
      </c>
    </row>
    <row r="80" spans="1:13" ht="15" thickBot="1" x14ac:dyDescent="0.4">
      <c r="A80" s="91" t="s">
        <v>219</v>
      </c>
      <c r="B80" s="7">
        <v>10155</v>
      </c>
      <c r="C80" s="72">
        <v>1</v>
      </c>
      <c r="D80" s="7">
        <v>4725</v>
      </c>
      <c r="E80" s="7">
        <v>3570</v>
      </c>
      <c r="F80" s="7">
        <v>0</v>
      </c>
      <c r="G80" s="7">
        <v>8175</v>
      </c>
      <c r="H80" s="7">
        <v>1640</v>
      </c>
      <c r="I80" s="72">
        <v>0.47</v>
      </c>
      <c r="J80" s="72">
        <v>0.35</v>
      </c>
      <c r="K80" s="72">
        <v>0</v>
      </c>
      <c r="L80" s="72">
        <v>0.81</v>
      </c>
      <c r="M80" s="72">
        <v>0.16</v>
      </c>
    </row>
    <row r="81" spans="1:13" ht="15" thickBot="1" x14ac:dyDescent="0.4">
      <c r="A81" s="91" t="s">
        <v>273</v>
      </c>
      <c r="B81" s="7">
        <v>276250</v>
      </c>
      <c r="C81" s="72">
        <v>1</v>
      </c>
      <c r="D81" s="7">
        <v>92810</v>
      </c>
      <c r="E81" s="7">
        <v>91340</v>
      </c>
      <c r="F81" s="7">
        <v>60435</v>
      </c>
      <c r="G81" s="7">
        <v>139785</v>
      </c>
      <c r="H81" s="7">
        <v>32700</v>
      </c>
      <c r="I81" s="72">
        <v>0.34</v>
      </c>
      <c r="J81" s="72">
        <v>0.33</v>
      </c>
      <c r="K81" s="72">
        <v>0.22</v>
      </c>
      <c r="L81" s="72">
        <v>0.51</v>
      </c>
      <c r="M81" s="72">
        <v>0.12</v>
      </c>
    </row>
    <row r="82" spans="1:13" ht="29.5" thickBot="1" x14ac:dyDescent="0.4">
      <c r="A82" s="91" t="s">
        <v>233</v>
      </c>
      <c r="B82" s="7">
        <v>15</v>
      </c>
      <c r="C82" s="72">
        <v>0</v>
      </c>
      <c r="D82" s="7">
        <v>15</v>
      </c>
      <c r="E82" s="7">
        <v>0</v>
      </c>
      <c r="F82" s="7">
        <v>0</v>
      </c>
      <c r="G82" s="7">
        <v>0</v>
      </c>
      <c r="H82" s="7">
        <v>0</v>
      </c>
      <c r="I82" s="72">
        <v>1</v>
      </c>
      <c r="J82" s="72">
        <v>0</v>
      </c>
      <c r="K82" s="72">
        <v>0</v>
      </c>
      <c r="L82" s="72">
        <v>0</v>
      </c>
      <c r="M82" s="7">
        <v>0</v>
      </c>
    </row>
    <row r="83" spans="1:13" ht="29.5" thickBot="1" x14ac:dyDescent="0.4">
      <c r="A83" s="91" t="s">
        <v>234</v>
      </c>
      <c r="B83" s="7">
        <v>110</v>
      </c>
      <c r="C83" s="72">
        <v>0</v>
      </c>
      <c r="D83" s="7">
        <v>40</v>
      </c>
      <c r="E83" s="7">
        <v>45</v>
      </c>
      <c r="F83" s="7">
        <v>15</v>
      </c>
      <c r="G83" s="7">
        <v>65</v>
      </c>
      <c r="H83" s="7">
        <v>10</v>
      </c>
      <c r="I83" s="72">
        <v>0.39</v>
      </c>
      <c r="J83" s="72">
        <v>0.4</v>
      </c>
      <c r="K83" s="72">
        <v>0.12</v>
      </c>
      <c r="L83" s="72">
        <v>0.59</v>
      </c>
      <c r="M83" s="72">
        <v>0.1</v>
      </c>
    </row>
    <row r="84" spans="1:13" ht="29.5" thickBot="1" x14ac:dyDescent="0.4">
      <c r="A84" s="91" t="s">
        <v>235</v>
      </c>
      <c r="B84" s="7">
        <v>155</v>
      </c>
      <c r="C84" s="72">
        <v>0</v>
      </c>
      <c r="D84" s="7">
        <v>55</v>
      </c>
      <c r="E84" s="7">
        <v>55</v>
      </c>
      <c r="F84" s="7">
        <v>30</v>
      </c>
      <c r="G84" s="7">
        <v>115</v>
      </c>
      <c r="H84" s="7">
        <v>15</v>
      </c>
      <c r="I84" s="72">
        <v>0.37</v>
      </c>
      <c r="J84" s="72">
        <v>0.37</v>
      </c>
      <c r="K84" s="72">
        <v>0.2</v>
      </c>
      <c r="L84" s="72">
        <v>0.74</v>
      </c>
      <c r="M84" s="72">
        <v>0.09</v>
      </c>
    </row>
    <row r="85" spans="1:13" ht="29.5" thickBot="1" x14ac:dyDescent="0.4">
      <c r="A85" s="91" t="s">
        <v>236</v>
      </c>
      <c r="B85" s="7">
        <v>20</v>
      </c>
      <c r="C85" s="72">
        <v>0</v>
      </c>
      <c r="D85" s="7">
        <v>5</v>
      </c>
      <c r="E85" s="7">
        <v>5</v>
      </c>
      <c r="F85" s="7">
        <v>0</v>
      </c>
      <c r="G85" s="7">
        <v>15</v>
      </c>
      <c r="H85" s="7">
        <v>5</v>
      </c>
      <c r="I85" s="72">
        <v>0.39</v>
      </c>
      <c r="J85" s="72">
        <v>0.39</v>
      </c>
      <c r="K85" s="72">
        <v>0</v>
      </c>
      <c r="L85" s="72">
        <v>0.78</v>
      </c>
      <c r="M85" s="72">
        <v>0.17</v>
      </c>
    </row>
    <row r="86" spans="1:13" ht="29.5" thickBot="1" x14ac:dyDescent="0.4">
      <c r="A86" s="91" t="s">
        <v>277</v>
      </c>
      <c r="B86" s="7">
        <v>295</v>
      </c>
      <c r="C86" s="72">
        <v>0</v>
      </c>
      <c r="D86" s="7">
        <v>120</v>
      </c>
      <c r="E86" s="7">
        <v>105</v>
      </c>
      <c r="F86" s="7">
        <v>45</v>
      </c>
      <c r="G86" s="7">
        <v>190</v>
      </c>
      <c r="H86" s="7">
        <v>30</v>
      </c>
      <c r="I86" s="72">
        <v>0.41</v>
      </c>
      <c r="J86" s="72">
        <v>0.36</v>
      </c>
      <c r="K86" s="72">
        <v>0.15</v>
      </c>
      <c r="L86" s="72">
        <v>0.65</v>
      </c>
      <c r="M86" s="72">
        <v>0.09</v>
      </c>
    </row>
    <row r="87" spans="1:13" ht="15" thickBot="1" x14ac:dyDescent="0.4">
      <c r="A87" s="91" t="s">
        <v>419</v>
      </c>
      <c r="B87" s="7">
        <v>60</v>
      </c>
      <c r="C87" s="72">
        <v>0</v>
      </c>
      <c r="D87" s="7">
        <v>60</v>
      </c>
      <c r="E87" s="7">
        <v>0</v>
      </c>
      <c r="F87" s="7">
        <v>0</v>
      </c>
      <c r="G87" s="7">
        <v>0</v>
      </c>
      <c r="H87" s="7">
        <v>0</v>
      </c>
      <c r="I87" s="72">
        <v>1</v>
      </c>
      <c r="J87" s="72">
        <v>0</v>
      </c>
      <c r="K87" s="72">
        <v>0</v>
      </c>
      <c r="L87" s="72">
        <v>0</v>
      </c>
      <c r="M87" s="7">
        <v>0</v>
      </c>
    </row>
    <row r="88" spans="1:13" ht="15" thickBot="1" x14ac:dyDescent="0.4">
      <c r="A88" s="91" t="s">
        <v>420</v>
      </c>
      <c r="B88" s="7">
        <v>345</v>
      </c>
      <c r="C88" s="72">
        <v>0</v>
      </c>
      <c r="D88" s="7">
        <v>110</v>
      </c>
      <c r="E88" s="7">
        <v>145</v>
      </c>
      <c r="F88" s="7">
        <v>75</v>
      </c>
      <c r="G88" s="7">
        <v>140</v>
      </c>
      <c r="H88" s="7">
        <v>40</v>
      </c>
      <c r="I88" s="72">
        <v>0.32</v>
      </c>
      <c r="J88" s="72">
        <v>0.42</v>
      </c>
      <c r="K88" s="72">
        <v>0.21</v>
      </c>
      <c r="L88" s="72">
        <v>0.4</v>
      </c>
      <c r="M88" s="72">
        <v>0.12</v>
      </c>
    </row>
    <row r="89" spans="1:13" ht="15" thickBot="1" x14ac:dyDescent="0.4">
      <c r="A89" s="91" t="s">
        <v>421</v>
      </c>
      <c r="B89" s="7">
        <v>370</v>
      </c>
      <c r="C89" s="72">
        <v>0</v>
      </c>
      <c r="D89" s="7">
        <v>110</v>
      </c>
      <c r="E89" s="7">
        <v>125</v>
      </c>
      <c r="F89" s="7">
        <v>105</v>
      </c>
      <c r="G89" s="7">
        <v>245</v>
      </c>
      <c r="H89" s="7">
        <v>45</v>
      </c>
      <c r="I89" s="72">
        <v>0.3</v>
      </c>
      <c r="J89" s="72">
        <v>0.34</v>
      </c>
      <c r="K89" s="72">
        <v>0.28000000000000003</v>
      </c>
      <c r="L89" s="72">
        <v>0.66</v>
      </c>
      <c r="M89" s="72">
        <v>0.12</v>
      </c>
    </row>
    <row r="90" spans="1:13" ht="15" thickBot="1" x14ac:dyDescent="0.4">
      <c r="A90" s="91" t="s">
        <v>422</v>
      </c>
      <c r="B90" s="7">
        <v>35</v>
      </c>
      <c r="C90" s="72">
        <v>0</v>
      </c>
      <c r="D90" s="7">
        <v>15</v>
      </c>
      <c r="E90" s="7">
        <v>15</v>
      </c>
      <c r="F90" s="7">
        <v>0</v>
      </c>
      <c r="G90" s="7">
        <v>35</v>
      </c>
      <c r="H90" s="7">
        <v>5</v>
      </c>
      <c r="I90" s="72">
        <v>0.46</v>
      </c>
      <c r="J90" s="72">
        <v>0.38</v>
      </c>
      <c r="K90" s="72">
        <v>0</v>
      </c>
      <c r="L90" s="72">
        <v>0.89</v>
      </c>
      <c r="M90" s="72">
        <v>0.08</v>
      </c>
    </row>
    <row r="91" spans="1:13" x14ac:dyDescent="0.35">
      <c r="A91" s="92" t="s">
        <v>423</v>
      </c>
      <c r="B91" s="7">
        <v>810</v>
      </c>
      <c r="C91" s="72">
        <v>0</v>
      </c>
      <c r="D91" s="7">
        <v>300</v>
      </c>
      <c r="E91" s="7">
        <v>285</v>
      </c>
      <c r="F91" s="7">
        <v>175</v>
      </c>
      <c r="G91" s="7">
        <v>420</v>
      </c>
      <c r="H91" s="7">
        <v>90</v>
      </c>
      <c r="I91" s="72">
        <v>0.37</v>
      </c>
      <c r="J91" s="72">
        <v>0.35</v>
      </c>
      <c r="K91" s="72">
        <v>0.22</v>
      </c>
      <c r="L91" s="72">
        <v>0.52</v>
      </c>
      <c r="M91" s="72">
        <v>0.11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1"/>
  <sheetViews>
    <sheetView zoomScale="75" zoomScaleNormal="75" workbookViewId="0"/>
  </sheetViews>
  <sheetFormatPr defaultRowHeight="14.5" x14ac:dyDescent="0.35"/>
  <cols>
    <col min="1" max="10" width="13.1796875" customWidth="1"/>
  </cols>
  <sheetData>
    <row r="1" spans="1:10" ht="93" x14ac:dyDescent="0.35">
      <c r="A1" s="107" t="s">
        <v>512</v>
      </c>
      <c r="B1" s="107" t="s">
        <v>88</v>
      </c>
      <c r="C1" s="107" t="s">
        <v>353</v>
      </c>
      <c r="D1" s="107" t="s">
        <v>87</v>
      </c>
      <c r="E1" s="107" t="s">
        <v>54</v>
      </c>
      <c r="F1" s="107" t="s">
        <v>89</v>
      </c>
      <c r="G1" s="107" t="s">
        <v>90</v>
      </c>
      <c r="H1" s="107" t="s">
        <v>343</v>
      </c>
      <c r="I1" s="107" t="s">
        <v>344</v>
      </c>
      <c r="J1" s="108" t="s">
        <v>345</v>
      </c>
    </row>
    <row r="2" spans="1:10" ht="29.5" thickBot="1" x14ac:dyDescent="0.4">
      <c r="A2" s="91" t="s">
        <v>513</v>
      </c>
      <c r="B2" s="7">
        <v>8520</v>
      </c>
      <c r="C2" s="72">
        <v>0.45</v>
      </c>
      <c r="D2" s="7">
        <v>7875</v>
      </c>
      <c r="E2" s="7">
        <v>3140</v>
      </c>
      <c r="F2" s="7">
        <v>4590</v>
      </c>
      <c r="G2" s="7">
        <v>145</v>
      </c>
      <c r="H2" s="72">
        <v>0.4</v>
      </c>
      <c r="I2" s="72">
        <v>0.57999999999999996</v>
      </c>
      <c r="J2" s="72">
        <v>0.02</v>
      </c>
    </row>
    <row r="3" spans="1:10" ht="29.5" thickBot="1" x14ac:dyDescent="0.4">
      <c r="A3" s="91" t="s">
        <v>514</v>
      </c>
      <c r="B3" s="7">
        <v>16040</v>
      </c>
      <c r="C3" s="72">
        <v>0.46</v>
      </c>
      <c r="D3" s="7">
        <v>14940</v>
      </c>
      <c r="E3" s="7">
        <v>5410</v>
      </c>
      <c r="F3" s="7">
        <v>8420</v>
      </c>
      <c r="G3" s="7">
        <v>1110</v>
      </c>
      <c r="H3" s="72">
        <v>0.36</v>
      </c>
      <c r="I3" s="72">
        <v>0.56000000000000005</v>
      </c>
      <c r="J3" s="72">
        <v>7.0000000000000007E-2</v>
      </c>
    </row>
    <row r="4" spans="1:10" ht="29.5" thickBot="1" x14ac:dyDescent="0.4">
      <c r="A4" s="91" t="s">
        <v>515</v>
      </c>
      <c r="B4" s="7">
        <v>14000</v>
      </c>
      <c r="C4" s="72">
        <v>0.41</v>
      </c>
      <c r="D4" s="7">
        <v>13435</v>
      </c>
      <c r="E4" s="7">
        <v>5785</v>
      </c>
      <c r="F4" s="7">
        <v>7290</v>
      </c>
      <c r="G4" s="7">
        <v>360</v>
      </c>
      <c r="H4" s="72">
        <v>0.43</v>
      </c>
      <c r="I4" s="72">
        <v>0.54</v>
      </c>
      <c r="J4" s="72">
        <v>0.03</v>
      </c>
    </row>
    <row r="5" spans="1:10" ht="29.5" thickBot="1" x14ac:dyDescent="0.4">
      <c r="A5" s="91" t="s">
        <v>516</v>
      </c>
      <c r="B5" s="7">
        <v>1870</v>
      </c>
      <c r="C5" s="72">
        <v>0.4</v>
      </c>
      <c r="D5" s="7">
        <v>2585</v>
      </c>
      <c r="E5" s="7">
        <v>1205</v>
      </c>
      <c r="F5" s="7">
        <v>1335</v>
      </c>
      <c r="G5" s="7">
        <v>45</v>
      </c>
      <c r="H5" s="72">
        <v>0.47</v>
      </c>
      <c r="I5" s="72">
        <v>0.52</v>
      </c>
      <c r="J5" s="72">
        <v>0.02</v>
      </c>
    </row>
    <row r="6" spans="1:10" ht="29.5" thickBot="1" x14ac:dyDescent="0.4">
      <c r="A6" s="91" t="s">
        <v>517</v>
      </c>
      <c r="B6" s="7">
        <v>40430</v>
      </c>
      <c r="C6" s="72">
        <v>0.44</v>
      </c>
      <c r="D6" s="7">
        <v>38835</v>
      </c>
      <c r="E6" s="7">
        <v>15540</v>
      </c>
      <c r="F6" s="7">
        <v>21635</v>
      </c>
      <c r="G6" s="7">
        <v>1660</v>
      </c>
      <c r="H6" s="72">
        <v>0.4</v>
      </c>
      <c r="I6" s="72">
        <v>0.56000000000000005</v>
      </c>
      <c r="J6" s="72">
        <v>0.04</v>
      </c>
    </row>
    <row r="7" spans="1:10" ht="44" thickBot="1" x14ac:dyDescent="0.4">
      <c r="A7" s="91" t="s">
        <v>518</v>
      </c>
      <c r="B7" s="7">
        <v>10250</v>
      </c>
      <c r="C7" s="72">
        <v>0.55000000000000004</v>
      </c>
      <c r="D7" s="7">
        <v>9660</v>
      </c>
      <c r="E7" s="7">
        <v>8180</v>
      </c>
      <c r="F7" s="7">
        <v>1405</v>
      </c>
      <c r="G7" s="7">
        <v>80</v>
      </c>
      <c r="H7" s="72">
        <v>0.85</v>
      </c>
      <c r="I7" s="72">
        <v>0.15</v>
      </c>
      <c r="J7" s="72">
        <v>0.01</v>
      </c>
    </row>
    <row r="8" spans="1:10" ht="44" thickBot="1" x14ac:dyDescent="0.4">
      <c r="A8" s="91" t="s">
        <v>519</v>
      </c>
      <c r="B8" s="7">
        <v>19195</v>
      </c>
      <c r="C8" s="72">
        <v>0.54</v>
      </c>
      <c r="D8" s="7">
        <v>17830</v>
      </c>
      <c r="E8" s="7">
        <v>10080</v>
      </c>
      <c r="F8" s="7">
        <v>6890</v>
      </c>
      <c r="G8" s="7">
        <v>860</v>
      </c>
      <c r="H8" s="72">
        <v>0.56999999999999995</v>
      </c>
      <c r="I8" s="72">
        <v>0.39</v>
      </c>
      <c r="J8" s="72">
        <v>0.05</v>
      </c>
    </row>
    <row r="9" spans="1:10" ht="44" thickBot="1" x14ac:dyDescent="0.4">
      <c r="A9" s="91" t="s">
        <v>520</v>
      </c>
      <c r="B9" s="7">
        <v>20075</v>
      </c>
      <c r="C9" s="72">
        <v>0.59</v>
      </c>
      <c r="D9" s="7">
        <v>19095</v>
      </c>
      <c r="E9" s="7">
        <v>10575</v>
      </c>
      <c r="F9" s="7">
        <v>8270</v>
      </c>
      <c r="G9" s="7">
        <v>250</v>
      </c>
      <c r="H9" s="72">
        <v>0.55000000000000004</v>
      </c>
      <c r="I9" s="72">
        <v>0.43</v>
      </c>
      <c r="J9" s="72">
        <v>0.01</v>
      </c>
    </row>
    <row r="10" spans="1:10" ht="44" thickBot="1" x14ac:dyDescent="0.4">
      <c r="A10" s="91" t="s">
        <v>521</v>
      </c>
      <c r="B10" s="7">
        <v>2860</v>
      </c>
      <c r="C10" s="72">
        <v>0.6</v>
      </c>
      <c r="D10" s="7">
        <v>4090</v>
      </c>
      <c r="E10" s="7">
        <v>2290</v>
      </c>
      <c r="F10" s="7">
        <v>1760</v>
      </c>
      <c r="G10" s="7">
        <v>45</v>
      </c>
      <c r="H10" s="72">
        <v>0.56000000000000005</v>
      </c>
      <c r="I10" s="72">
        <v>0.43</v>
      </c>
      <c r="J10" s="72">
        <v>0.01</v>
      </c>
    </row>
    <row r="11" spans="1:10" ht="29.5" thickBot="1" x14ac:dyDescent="0.4">
      <c r="A11" s="91" t="s">
        <v>522</v>
      </c>
      <c r="B11" s="7">
        <v>52380</v>
      </c>
      <c r="C11" s="72">
        <v>0.56000000000000005</v>
      </c>
      <c r="D11" s="7">
        <v>50670</v>
      </c>
      <c r="E11" s="7">
        <v>31120</v>
      </c>
      <c r="F11" s="7">
        <v>18320</v>
      </c>
      <c r="G11" s="7">
        <v>1230</v>
      </c>
      <c r="H11" s="72">
        <v>0.61</v>
      </c>
      <c r="I11" s="72">
        <v>0.36</v>
      </c>
      <c r="J11" s="72">
        <v>0.02</v>
      </c>
    </row>
    <row r="12" spans="1:10" ht="73" thickBot="1" x14ac:dyDescent="0.4">
      <c r="A12" s="91" t="s">
        <v>529</v>
      </c>
      <c r="B12" s="7">
        <v>18775</v>
      </c>
      <c r="C12" s="72">
        <v>1</v>
      </c>
      <c r="D12" s="7">
        <v>17535</v>
      </c>
      <c r="E12" s="7">
        <v>11320</v>
      </c>
      <c r="F12" s="7">
        <v>5995</v>
      </c>
      <c r="G12" s="7">
        <v>225</v>
      </c>
      <c r="H12" s="72">
        <v>0.65</v>
      </c>
      <c r="I12" s="72">
        <v>0.34</v>
      </c>
      <c r="J12" s="72">
        <v>0.01</v>
      </c>
    </row>
    <row r="13" spans="1:10" ht="73" thickBot="1" x14ac:dyDescent="0.4">
      <c r="A13" s="91" t="s">
        <v>530</v>
      </c>
      <c r="B13" s="7">
        <v>35235</v>
      </c>
      <c r="C13" s="72">
        <v>1</v>
      </c>
      <c r="D13" s="7">
        <v>32765</v>
      </c>
      <c r="E13" s="7">
        <v>15490</v>
      </c>
      <c r="F13" s="7">
        <v>15310</v>
      </c>
      <c r="G13" s="7">
        <v>1970</v>
      </c>
      <c r="H13" s="72">
        <v>0.47</v>
      </c>
      <c r="I13" s="72">
        <v>0.47</v>
      </c>
      <c r="J13" s="72">
        <v>0.06</v>
      </c>
    </row>
    <row r="14" spans="1:10" ht="73" thickBot="1" x14ac:dyDescent="0.4">
      <c r="A14" s="91" t="s">
        <v>531</v>
      </c>
      <c r="B14" s="7">
        <v>34075</v>
      </c>
      <c r="C14" s="72">
        <v>1</v>
      </c>
      <c r="D14" s="7">
        <v>32530</v>
      </c>
      <c r="E14" s="7">
        <v>16360</v>
      </c>
      <c r="F14" s="7">
        <v>15560</v>
      </c>
      <c r="G14" s="7">
        <v>610</v>
      </c>
      <c r="H14" s="72">
        <v>0.5</v>
      </c>
      <c r="I14" s="72">
        <v>0.48</v>
      </c>
      <c r="J14" s="72">
        <v>0.02</v>
      </c>
    </row>
    <row r="15" spans="1:10" ht="73" thickBot="1" x14ac:dyDescent="0.4">
      <c r="A15" s="91" t="s">
        <v>532</v>
      </c>
      <c r="B15" s="7">
        <v>4725</v>
      </c>
      <c r="C15" s="72">
        <v>1</v>
      </c>
      <c r="D15" s="7">
        <v>6675</v>
      </c>
      <c r="E15" s="7">
        <v>3490</v>
      </c>
      <c r="F15" s="7">
        <v>3090</v>
      </c>
      <c r="G15" s="7">
        <v>90</v>
      </c>
      <c r="H15" s="72">
        <v>0.52</v>
      </c>
      <c r="I15" s="72">
        <v>0.46</v>
      </c>
      <c r="J15" s="72">
        <v>0.01</v>
      </c>
    </row>
    <row r="16" spans="1:10" ht="73" thickBot="1" x14ac:dyDescent="0.4">
      <c r="A16" s="91" t="s">
        <v>533</v>
      </c>
      <c r="B16" s="7">
        <v>92810</v>
      </c>
      <c r="C16" s="72">
        <v>1</v>
      </c>
      <c r="D16" s="7">
        <v>89505</v>
      </c>
      <c r="E16" s="7">
        <v>46660</v>
      </c>
      <c r="F16" s="7">
        <v>39955</v>
      </c>
      <c r="G16" s="7">
        <v>2890</v>
      </c>
      <c r="H16" s="72">
        <v>0.52</v>
      </c>
      <c r="I16" s="72">
        <v>0.45</v>
      </c>
      <c r="J16" s="72">
        <v>0.03</v>
      </c>
    </row>
    <row r="17" spans="1:10" ht="29.5" thickBot="1" x14ac:dyDescent="0.4">
      <c r="A17" s="91" t="s">
        <v>523</v>
      </c>
      <c r="B17" s="7">
        <v>295</v>
      </c>
      <c r="C17" s="72">
        <v>0.02</v>
      </c>
      <c r="D17" s="7">
        <v>275</v>
      </c>
      <c r="E17" s="7">
        <v>165</v>
      </c>
      <c r="F17" s="7">
        <v>105</v>
      </c>
      <c r="G17" s="7">
        <v>5</v>
      </c>
      <c r="H17" s="72">
        <v>0.6</v>
      </c>
      <c r="I17" s="72">
        <v>0.38</v>
      </c>
      <c r="J17" s="72">
        <v>0.01</v>
      </c>
    </row>
    <row r="18" spans="1:10" ht="29.5" thickBot="1" x14ac:dyDescent="0.4">
      <c r="A18" s="91" t="s">
        <v>524</v>
      </c>
      <c r="B18" s="7">
        <v>620</v>
      </c>
      <c r="C18" s="72">
        <v>0.02</v>
      </c>
      <c r="D18" s="7">
        <v>570</v>
      </c>
      <c r="E18" s="7">
        <v>275</v>
      </c>
      <c r="F18" s="7">
        <v>255</v>
      </c>
      <c r="G18" s="7">
        <v>35</v>
      </c>
      <c r="H18" s="72">
        <v>0.49</v>
      </c>
      <c r="I18" s="72">
        <v>0.45</v>
      </c>
      <c r="J18" s="72">
        <v>0.06</v>
      </c>
    </row>
    <row r="19" spans="1:10" ht="29.5" thickBot="1" x14ac:dyDescent="0.4">
      <c r="A19" s="91" t="s">
        <v>525</v>
      </c>
      <c r="B19" s="7">
        <v>605</v>
      </c>
      <c r="C19" s="72">
        <v>0.02</v>
      </c>
      <c r="D19" s="7">
        <v>580</v>
      </c>
      <c r="E19" s="7">
        <v>285</v>
      </c>
      <c r="F19" s="7">
        <v>280</v>
      </c>
      <c r="G19" s="7">
        <v>15</v>
      </c>
      <c r="H19" s="72">
        <v>0.49</v>
      </c>
      <c r="I19" s="72">
        <v>0.49</v>
      </c>
      <c r="J19" s="72">
        <v>0.02</v>
      </c>
    </row>
    <row r="20" spans="1:10" ht="29.5" thickBot="1" x14ac:dyDescent="0.4">
      <c r="A20" s="91" t="s">
        <v>526</v>
      </c>
      <c r="B20" s="7">
        <v>75</v>
      </c>
      <c r="C20" s="72">
        <v>0.02</v>
      </c>
      <c r="D20" s="7">
        <v>110</v>
      </c>
      <c r="E20" s="7">
        <v>60</v>
      </c>
      <c r="F20" s="7">
        <v>50</v>
      </c>
      <c r="G20" s="7" t="s">
        <v>486</v>
      </c>
      <c r="H20" s="72">
        <v>0.53</v>
      </c>
      <c r="I20" s="72" t="s">
        <v>486</v>
      </c>
      <c r="J20" s="72" t="s">
        <v>486</v>
      </c>
    </row>
    <row r="21" spans="1:10" ht="29.5" thickBot="1" x14ac:dyDescent="0.4">
      <c r="A21" s="91" t="s">
        <v>527</v>
      </c>
      <c r="B21" s="7">
        <v>1595</v>
      </c>
      <c r="C21" s="72">
        <v>0.02</v>
      </c>
      <c r="D21" s="7">
        <v>1535</v>
      </c>
      <c r="E21" s="7">
        <v>785</v>
      </c>
      <c r="F21" s="7">
        <v>695</v>
      </c>
      <c r="G21" s="7">
        <v>55</v>
      </c>
      <c r="H21" s="72">
        <v>0.51</v>
      </c>
      <c r="I21" s="72">
        <v>0.45</v>
      </c>
      <c r="J21" s="72">
        <v>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1"/>
  <sheetViews>
    <sheetView zoomScale="75" zoomScaleNormal="75" workbookViewId="0"/>
  </sheetViews>
  <sheetFormatPr defaultRowHeight="14.5" x14ac:dyDescent="0.35"/>
  <cols>
    <col min="1" max="1" width="45.453125" customWidth="1"/>
    <col min="2" max="4" width="17.453125" customWidth="1"/>
    <col min="5" max="5" width="17.453125" style="21" customWidth="1"/>
    <col min="6" max="11" width="17.453125" customWidth="1"/>
    <col min="12" max="13" width="12.26953125" customWidth="1"/>
  </cols>
  <sheetData>
    <row r="1" spans="1:14" ht="21.65" customHeight="1" x14ac:dyDescent="0.5">
      <c r="A1" s="29" t="s">
        <v>61</v>
      </c>
    </row>
    <row r="2" spans="1:14" ht="20.149999999999999" customHeight="1" x14ac:dyDescent="0.35">
      <c r="A2" s="26" t="s">
        <v>767</v>
      </c>
    </row>
    <row r="3" spans="1:14" ht="20.5" customHeight="1" x14ac:dyDescent="0.35">
      <c r="A3" s="25" t="s">
        <v>768</v>
      </c>
    </row>
    <row r="4" spans="1:14" ht="29.15" customHeight="1" x14ac:dyDescent="0.35">
      <c r="A4" s="42" t="s">
        <v>480</v>
      </c>
    </row>
    <row r="5" spans="1:14" s="1" customFormat="1" ht="33" customHeight="1" x14ac:dyDescent="0.35">
      <c r="A5" s="195" t="s">
        <v>750</v>
      </c>
      <c r="B5" s="197" t="s">
        <v>241</v>
      </c>
      <c r="C5" s="48"/>
      <c r="D5" s="28"/>
      <c r="E5" s="28"/>
      <c r="F5" s="28"/>
      <c r="G5" s="28"/>
      <c r="H5" s="28"/>
      <c r="I5" s="28"/>
      <c r="J5" s="28"/>
      <c r="K5" s="28"/>
      <c r="L5" s="28"/>
    </row>
    <row r="6" spans="1:14" ht="62" x14ac:dyDescent="0.35">
      <c r="A6" s="37" t="s">
        <v>655</v>
      </c>
      <c r="B6" s="38" t="s">
        <v>57</v>
      </c>
      <c r="C6" s="31" t="s">
        <v>342</v>
      </c>
      <c r="D6" s="31" t="s">
        <v>751</v>
      </c>
      <c r="E6" s="31" t="s">
        <v>23</v>
      </c>
      <c r="F6" s="31" t="s">
        <v>752</v>
      </c>
      <c r="G6" s="31" t="s">
        <v>744</v>
      </c>
      <c r="H6" s="31" t="s">
        <v>753</v>
      </c>
      <c r="I6" s="31" t="s">
        <v>343</v>
      </c>
      <c r="J6" s="31" t="s">
        <v>344</v>
      </c>
      <c r="K6" s="31" t="s">
        <v>345</v>
      </c>
      <c r="L6" s="26"/>
    </row>
    <row r="7" spans="1:14" ht="16" customHeight="1" x14ac:dyDescent="0.35">
      <c r="A7" s="243" t="str">
        <f xml:space="preserve"> "Total " &amp;$B$5</f>
        <v>Total All time</v>
      </c>
      <c r="B7" s="244">
        <f>VLOOKUP($A7,'Table 2 - Full data'!$A$2:$K$31,2,FALSE)</f>
        <v>276250</v>
      </c>
      <c r="C7" s="245">
        <f>VLOOKUP($A7,'Table 2 - Full data'!$A$2:$K$31,3,FALSE)</f>
        <v>1</v>
      </c>
      <c r="D7" s="244">
        <f>VLOOKUP($A7,'Table 2 - Full data'!$A$2:$K$31,4,FALSE)</f>
        <v>268375</v>
      </c>
      <c r="E7" s="245">
        <f>VLOOKUP($A7,'Table 2 - Full data'!$A$2:$K$31,5,FALSE)</f>
        <v>1</v>
      </c>
      <c r="F7" s="244">
        <f>VLOOKUP($A7,'Table 2 - Full data'!$A$2:$K$31,6,FALSE)</f>
        <v>179575</v>
      </c>
      <c r="G7" s="244">
        <f>VLOOKUP($A7,'Table 2 - Full data'!$A$2:$K$31,7,FALSE)</f>
        <v>80835</v>
      </c>
      <c r="H7" s="244">
        <f>VLOOKUP($A7,'Table 2 - Full data'!$A$2:$K$31,8,FALSE)</f>
        <v>7965</v>
      </c>
      <c r="I7" s="245">
        <f>VLOOKUP($A7,'Table 2 - Full data'!$A$2:$K$31,9,FALSE)</f>
        <v>0.67</v>
      </c>
      <c r="J7" s="245">
        <f>VLOOKUP($A7,'Table 2 - Full data'!$A$2:$K$31,10,FALSE)</f>
        <v>0.3</v>
      </c>
      <c r="K7" s="245">
        <f>VLOOKUP($A7,'Table 2 - Full data'!$A$2:$K$31,11,FALSE)</f>
        <v>0.03</v>
      </c>
      <c r="L7" s="26"/>
      <c r="N7" s="21"/>
    </row>
    <row r="8" spans="1:14" ht="16" customHeight="1" x14ac:dyDescent="0.35">
      <c r="A8" s="246" t="str">
        <f xml:space="preserve"> "Pregnancy and Baby Payment " &amp;$B$5</f>
        <v>Pregnancy and Baby Payment All time</v>
      </c>
      <c r="B8" s="247">
        <f>VLOOKUP($A8,'Table 2 - Full data'!$A$2:$K$31,2,FALSE)</f>
        <v>92810</v>
      </c>
      <c r="C8" s="248">
        <f>VLOOKUP($A8,'Table 2 - Full data'!$A$2:$K$31,3,FALSE)</f>
        <v>0.34</v>
      </c>
      <c r="D8" s="247">
        <f>VLOOKUP($A8,'Table 2 - Full data'!$A$2:$K$31,4,FALSE)</f>
        <v>89505</v>
      </c>
      <c r="E8" s="248">
        <f>VLOOKUP($A8,'Table 2 - Full data'!$A$2:$K$31,5,FALSE)</f>
        <v>0.33</v>
      </c>
      <c r="F8" s="247">
        <f>VLOOKUP($A8,'Table 2 - Full data'!$A$2:$K$31,6,FALSE)</f>
        <v>46660</v>
      </c>
      <c r="G8" s="247">
        <f>VLOOKUP($A8,'Table 2 - Full data'!$A$2:$K$31,7,FALSE)</f>
        <v>39955</v>
      </c>
      <c r="H8" s="247">
        <f>VLOOKUP($A8,'Table 2 - Full data'!$A$2:$K$31,8,FALSE)</f>
        <v>2890</v>
      </c>
      <c r="I8" s="248">
        <f>VLOOKUP($A8,'Table 2 - Full data'!$A$2:$K$31,9,FALSE)</f>
        <v>0.52</v>
      </c>
      <c r="J8" s="248">
        <f>VLOOKUP($A8,'Table 2 - Full data'!$A$2:$K$31,10,FALSE)</f>
        <v>0.45</v>
      </c>
      <c r="K8" s="248">
        <f>VLOOKUP($A8,'Table 2 - Full data'!$A$2:$K$31,11,FALSE)</f>
        <v>0.03</v>
      </c>
      <c r="L8" s="26"/>
      <c r="N8" s="21"/>
    </row>
    <row r="9" spans="1:14" ht="16" customHeight="1" x14ac:dyDescent="0.35">
      <c r="A9" s="246" t="str">
        <f xml:space="preserve"> "Early Learning Payment " &amp;$B$5</f>
        <v>Early Learning Payment All time</v>
      </c>
      <c r="B9" s="247">
        <f>VLOOKUP($A9,'Table 2 - Full data'!$A$2:$K$31,2,FALSE)</f>
        <v>91340</v>
      </c>
      <c r="C9" s="248">
        <f>VLOOKUP($A9,'Table 2 - Full data'!$A$2:$K$31,3,FALSE)</f>
        <v>0.33</v>
      </c>
      <c r="D9" s="247">
        <f>VLOOKUP($A9,'Table 2 - Full data'!$A$2:$K$31,4,FALSE)</f>
        <v>89010</v>
      </c>
      <c r="E9" s="248">
        <f>VLOOKUP($A9,'Table 2 - Full data'!$A$2:$K$31,5,FALSE)</f>
        <v>0.33</v>
      </c>
      <c r="F9" s="247">
        <f>VLOOKUP($A9,'Table 2 - Full data'!$A$2:$K$31,6,FALSE)</f>
        <v>54995</v>
      </c>
      <c r="G9" s="247">
        <f>VLOOKUP($A9,'Table 2 - Full data'!$A$2:$K$31,7,FALSE)</f>
        <v>31690</v>
      </c>
      <c r="H9" s="247">
        <f>VLOOKUP($A9,'Table 2 - Full data'!$A$2:$K$31,8,FALSE)</f>
        <v>2325</v>
      </c>
      <c r="I9" s="248">
        <f>VLOOKUP($A9,'Table 2 - Full data'!$A$2:$K$31,9,FALSE)</f>
        <v>0.62</v>
      </c>
      <c r="J9" s="248">
        <f>VLOOKUP($A9,'Table 2 - Full data'!$A$2:$K$31,10,FALSE)</f>
        <v>0.36</v>
      </c>
      <c r="K9" s="248">
        <f>VLOOKUP($A9,'Table 2 - Full data'!$A$2:$K$31,11,FALSE)</f>
        <v>0.03</v>
      </c>
      <c r="L9" s="26"/>
      <c r="N9" s="21"/>
    </row>
    <row r="10" spans="1:14" ht="16" customHeight="1" x14ac:dyDescent="0.35">
      <c r="A10" s="246" t="str">
        <f xml:space="preserve"> "School Age Payment " &amp;$B$5</f>
        <v>School Age Payment All time</v>
      </c>
      <c r="B10" s="247">
        <f>VLOOKUP($A10,'Table 2 - Full data'!$A$2:$K$31,2,FALSE)</f>
        <v>60435</v>
      </c>
      <c r="C10" s="248">
        <f>VLOOKUP($A10,'Table 2 - Full data'!$A$2:$K$31,3,FALSE)</f>
        <v>0.22</v>
      </c>
      <c r="D10" s="247">
        <f>VLOOKUP($A10,'Table 2 - Full data'!$A$2:$K$31,4,FALSE)</f>
        <v>59860</v>
      </c>
      <c r="E10" s="248">
        <f>VLOOKUP($A10,'Table 2 - Full data'!$A$2:$K$31,5,FALSE)</f>
        <v>0.22</v>
      </c>
      <c r="F10" s="247">
        <f>VLOOKUP($A10,'Table 2 - Full data'!$A$2:$K$31,6,FALSE)</f>
        <v>40070</v>
      </c>
      <c r="G10" s="247">
        <f>VLOOKUP($A10,'Table 2 - Full data'!$A$2:$K$31,7,FALSE)</f>
        <v>18615</v>
      </c>
      <c r="H10" s="247">
        <f>VLOOKUP($A10,'Table 2 - Full data'!$A$2:$K$31,8,FALSE)</f>
        <v>1175</v>
      </c>
      <c r="I10" s="248">
        <f>VLOOKUP($A10,'Table 2 - Full data'!$A$2:$K$31,9,FALSE)</f>
        <v>0.67</v>
      </c>
      <c r="J10" s="248">
        <f>VLOOKUP($A10,'Table 2 - Full data'!$A$2:$K$31,10,FALSE)</f>
        <v>0.31</v>
      </c>
      <c r="K10" s="248">
        <f>VLOOKUP($A10,'Table 2 - Full data'!$A$2:$K$31,11,FALSE)</f>
        <v>0.02</v>
      </c>
      <c r="L10" s="26"/>
      <c r="N10" s="21"/>
    </row>
    <row r="11" spans="1:14" ht="16" customHeight="1" x14ac:dyDescent="0.35">
      <c r="A11" s="246" t="str">
        <f xml:space="preserve"> "Best Start Foods " &amp;$B$5</f>
        <v>Best Start Foods All time</v>
      </c>
      <c r="B11" s="247">
        <f>VLOOKUP($A11,'Table 2 - Full data'!$A$2:$K$31,2,FALSE)</f>
        <v>139785</v>
      </c>
      <c r="C11" s="248">
        <f>VLOOKUP($A11,'Table 2 - Full data'!$A$2:$K$31,3,FALSE)</f>
        <v>0.51</v>
      </c>
      <c r="D11" s="247">
        <f>VLOOKUP($A11,'Table 2 - Full data'!$A$2:$K$31,4,FALSE)</f>
        <v>133610</v>
      </c>
      <c r="E11" s="248">
        <f>VLOOKUP($A11,'Table 2 - Full data'!$A$2:$K$31,5,FALSE)</f>
        <v>0.5</v>
      </c>
      <c r="F11" s="247">
        <f>VLOOKUP($A11,'Table 2 - Full data'!$A$2:$K$31,6,FALSE)</f>
        <v>85490</v>
      </c>
      <c r="G11" s="247">
        <f>VLOOKUP($A11,'Table 2 - Full data'!$A$2:$K$31,7,FALSE)</f>
        <v>44375</v>
      </c>
      <c r="H11" s="247">
        <f>VLOOKUP($A11,'Table 2 - Full data'!$A$2:$K$31,8,FALSE)</f>
        <v>3745</v>
      </c>
      <c r="I11" s="248">
        <f>VLOOKUP($A11,'Table 2 - Full data'!$A$2:$K$31,9,FALSE)</f>
        <v>0.64</v>
      </c>
      <c r="J11" s="248">
        <f>VLOOKUP($A11,'Table 2 - Full data'!$A$2:$K$31,10,FALSE)</f>
        <v>0.33</v>
      </c>
      <c r="K11" s="248">
        <f>VLOOKUP($A11,'Table 2 - Full data'!$A$2:$K$31,11,FALSE)</f>
        <v>0.03</v>
      </c>
      <c r="L11" s="26"/>
      <c r="N11" s="21"/>
    </row>
    <row r="12" spans="1:14" ht="16" customHeight="1" x14ac:dyDescent="0.35">
      <c r="A12" s="246" t="str">
        <f xml:space="preserve"> "Unknown " &amp;$B$5</f>
        <v>Unknown All time</v>
      </c>
      <c r="B12" s="247">
        <f>VLOOKUP($A12,'Table 2 - Full data'!$A$2:$K$31,2,FALSE)</f>
        <v>32700</v>
      </c>
      <c r="C12" s="248">
        <f>VLOOKUP($A12,'Table 2 - Full data'!$A$2:$K$31,3,FALSE)</f>
        <v>0.12</v>
      </c>
      <c r="D12" s="247">
        <f>VLOOKUP($A12,'Table 2 - Full data'!$A$2:$K$31,4,FALSE)</f>
        <v>31475</v>
      </c>
      <c r="E12" s="248">
        <f>VLOOKUP($A12,'Table 2 - Full data'!$A$2:$K$31,5,FALSE)</f>
        <v>0.12</v>
      </c>
      <c r="F12" s="247">
        <f>VLOOKUP($A12,'Table 2 - Full data'!$A$2:$K$31,6,FALSE)</f>
        <v>1540</v>
      </c>
      <c r="G12" s="247">
        <f>VLOOKUP($A12,'Table 2 - Full data'!$A$2:$K$31,7,FALSE)</f>
        <v>28520</v>
      </c>
      <c r="H12" s="247">
        <f>VLOOKUP($A12,'Table 2 - Full data'!$A$2:$K$31,8,FALSE)</f>
        <v>1415</v>
      </c>
      <c r="I12" s="248">
        <f>VLOOKUP($A12,'Table 2 - Full data'!$A$2:$K$31,9,FALSE)</f>
        <v>0.05</v>
      </c>
      <c r="J12" s="248">
        <f>VLOOKUP($A12,'Table 2 - Full data'!$A$2:$K$31,10,FALSE)</f>
        <v>0.91</v>
      </c>
      <c r="K12" s="248">
        <f>VLOOKUP($A12,'Table 2 - Full data'!$A$2:$K$31,11,FALSE)</f>
        <v>0.04</v>
      </c>
      <c r="L12" s="26"/>
    </row>
    <row r="13" spans="1:14" ht="19.5" customHeight="1" x14ac:dyDescent="0.35">
      <c r="A13" s="254" t="s">
        <v>9</v>
      </c>
      <c r="B13" s="254"/>
      <c r="C13" s="254"/>
      <c r="D13" s="254"/>
      <c r="E13" s="254"/>
      <c r="F13" s="254"/>
      <c r="G13" s="254"/>
      <c r="H13" s="254"/>
      <c r="I13" s="254"/>
      <c r="J13" s="254"/>
      <c r="K13" s="254"/>
      <c r="L13" s="254"/>
    </row>
    <row r="14" spans="1:14" ht="15.5" x14ac:dyDescent="0.35">
      <c r="A14" s="44" t="s">
        <v>633</v>
      </c>
      <c r="B14" s="44"/>
      <c r="C14" s="44"/>
      <c r="D14" s="44"/>
      <c r="E14" s="44"/>
      <c r="F14" s="44"/>
      <c r="G14" s="44"/>
      <c r="H14" s="44"/>
      <c r="I14" s="44"/>
      <c r="J14" s="44"/>
      <c r="K14" s="44"/>
      <c r="L14" s="44"/>
      <c r="M14" s="10"/>
    </row>
    <row r="15" spans="1:14" s="21" customFormat="1" ht="15.5" x14ac:dyDescent="0.35">
      <c r="A15" s="44" t="s">
        <v>634</v>
      </c>
      <c r="B15" s="44"/>
      <c r="C15" s="44"/>
      <c r="D15" s="44"/>
      <c r="E15" s="44"/>
      <c r="F15" s="44"/>
      <c r="G15" s="44"/>
      <c r="H15" s="44"/>
      <c r="I15" s="44"/>
      <c r="J15" s="44"/>
      <c r="K15" s="44"/>
      <c r="L15" s="44"/>
      <c r="M15" s="10"/>
    </row>
    <row r="16" spans="1:14" s="21" customFormat="1" ht="15.5" x14ac:dyDescent="0.35">
      <c r="A16" s="45" t="s">
        <v>649</v>
      </c>
      <c r="B16" s="44"/>
      <c r="C16" s="44"/>
      <c r="D16" s="44"/>
      <c r="E16" s="44"/>
      <c r="F16" s="44"/>
      <c r="G16" s="44"/>
      <c r="H16" s="44"/>
      <c r="I16" s="44"/>
      <c r="J16" s="44"/>
      <c r="K16" s="44"/>
      <c r="L16" s="44"/>
      <c r="M16" s="10"/>
    </row>
    <row r="17" spans="1:13" s="21" customFormat="1" ht="15.5" x14ac:dyDescent="0.35">
      <c r="A17" s="45" t="s">
        <v>635</v>
      </c>
      <c r="B17" s="44"/>
      <c r="C17" s="44"/>
      <c r="D17" s="44"/>
      <c r="E17" s="44"/>
      <c r="F17" s="44"/>
      <c r="G17" s="44"/>
      <c r="H17" s="44"/>
      <c r="I17" s="44"/>
      <c r="J17" s="44"/>
      <c r="K17" s="44"/>
      <c r="L17" s="44"/>
      <c r="M17" s="10"/>
    </row>
    <row r="18" spans="1:13" s="21" customFormat="1" ht="15.5" x14ac:dyDescent="0.35">
      <c r="A18" s="44" t="s">
        <v>650</v>
      </c>
      <c r="B18" s="44"/>
      <c r="C18" s="44"/>
      <c r="D18" s="44"/>
      <c r="E18" s="44"/>
      <c r="F18" s="44"/>
      <c r="G18" s="44"/>
      <c r="H18" s="44"/>
      <c r="I18" s="44"/>
      <c r="J18" s="44"/>
      <c r="K18" s="44"/>
      <c r="L18" s="44"/>
      <c r="M18" s="10"/>
    </row>
    <row r="19" spans="1:13" s="21" customFormat="1" ht="15.5" x14ac:dyDescent="0.35">
      <c r="A19" s="44" t="s">
        <v>651</v>
      </c>
      <c r="B19" s="44"/>
      <c r="C19" s="44"/>
      <c r="D19" s="44"/>
      <c r="E19" s="44"/>
      <c r="F19" s="44"/>
      <c r="G19" s="44"/>
      <c r="H19" s="44"/>
      <c r="I19" s="44"/>
      <c r="J19" s="44"/>
      <c r="K19" s="44"/>
      <c r="L19" s="44"/>
      <c r="M19" s="10"/>
    </row>
    <row r="20" spans="1:13" s="21" customFormat="1" ht="15.5" x14ac:dyDescent="0.35">
      <c r="A20" s="44" t="s">
        <v>652</v>
      </c>
      <c r="B20" s="44"/>
      <c r="C20" s="44"/>
      <c r="D20" s="44"/>
      <c r="E20" s="44"/>
      <c r="F20" s="44"/>
      <c r="G20" s="44"/>
      <c r="H20" s="44"/>
      <c r="I20" s="44"/>
      <c r="J20" s="44"/>
      <c r="K20" s="44"/>
      <c r="L20" s="44"/>
      <c r="M20" s="10"/>
    </row>
    <row r="21" spans="1:13" s="21" customFormat="1" ht="15.5" x14ac:dyDescent="0.35">
      <c r="A21" s="44" t="s">
        <v>653</v>
      </c>
      <c r="B21" s="44"/>
      <c r="C21" s="44"/>
      <c r="D21" s="44"/>
      <c r="E21" s="44"/>
      <c r="F21" s="44"/>
      <c r="G21" s="44"/>
      <c r="H21" s="44"/>
      <c r="I21" s="44"/>
      <c r="J21" s="44"/>
      <c r="K21" s="44"/>
      <c r="L21" s="44"/>
      <c r="M21" s="10"/>
    </row>
    <row r="22" spans="1:13" s="21" customFormat="1" ht="15.5" x14ac:dyDescent="0.35">
      <c r="A22" s="63" t="s">
        <v>654</v>
      </c>
      <c r="B22" s="44"/>
      <c r="C22" s="44"/>
      <c r="D22" s="44"/>
      <c r="E22" s="44"/>
      <c r="F22" s="44"/>
      <c r="G22" s="44"/>
      <c r="H22" s="44"/>
      <c r="I22" s="44"/>
      <c r="J22" s="44"/>
      <c r="K22" s="44"/>
      <c r="L22" s="44"/>
      <c r="M22" s="10"/>
    </row>
    <row r="23" spans="1:13" ht="124.5" customHeight="1" x14ac:dyDescent="0.35">
      <c r="A23" s="43" t="s">
        <v>745</v>
      </c>
      <c r="B23" s="43"/>
      <c r="C23" s="43"/>
      <c r="D23" s="43"/>
      <c r="E23" s="43"/>
      <c r="F23" s="43"/>
      <c r="G23" s="43"/>
      <c r="H23" s="43"/>
      <c r="I23" s="43"/>
      <c r="J23" s="43"/>
      <c r="K23" s="43"/>
      <c r="L23" s="43"/>
      <c r="M23" s="10"/>
    </row>
    <row r="24" spans="1:13" ht="108.5" x14ac:dyDescent="0.35">
      <c r="A24" s="43" t="s">
        <v>746</v>
      </c>
      <c r="B24" s="43"/>
      <c r="C24" s="43"/>
      <c r="D24" s="43"/>
      <c r="E24" s="43"/>
      <c r="F24" s="43"/>
      <c r="G24" s="43"/>
      <c r="H24" s="43"/>
      <c r="I24" s="43"/>
      <c r="J24" s="43"/>
      <c r="K24" s="43"/>
      <c r="L24" s="43"/>
    </row>
    <row r="25" spans="1:13" ht="126.65" customHeight="1" x14ac:dyDescent="0.35">
      <c r="A25" s="43" t="s">
        <v>747</v>
      </c>
      <c r="B25" s="43"/>
      <c r="C25" s="43"/>
      <c r="D25" s="43"/>
      <c r="E25" s="43"/>
      <c r="F25" s="43"/>
      <c r="G25" s="43"/>
      <c r="H25" s="43"/>
      <c r="I25" s="43"/>
      <c r="J25" s="43"/>
      <c r="K25" s="43"/>
      <c r="L25" s="43"/>
    </row>
    <row r="26" spans="1:13" ht="15.5" x14ac:dyDescent="0.35">
      <c r="A26" s="44" t="s">
        <v>748</v>
      </c>
      <c r="B26" s="43"/>
      <c r="C26" s="43"/>
      <c r="D26" s="43"/>
      <c r="E26" s="43"/>
      <c r="F26" s="43"/>
      <c r="G26" s="43"/>
      <c r="H26" s="43"/>
      <c r="I26" s="43"/>
      <c r="J26" s="43"/>
      <c r="K26" s="43"/>
      <c r="L26" s="43"/>
    </row>
    <row r="27" spans="1:13" ht="15.5" x14ac:dyDescent="0.35">
      <c r="B27" s="43"/>
      <c r="C27" s="43"/>
      <c r="D27" s="43"/>
      <c r="E27" s="43"/>
      <c r="F27" s="43"/>
      <c r="G27" s="43"/>
      <c r="H27" s="43"/>
      <c r="I27" s="43"/>
      <c r="J27" s="43"/>
      <c r="K27" s="43"/>
      <c r="L27" s="43"/>
    </row>
    <row r="28" spans="1:13" ht="15.5" x14ac:dyDescent="0.35">
      <c r="B28" s="44"/>
      <c r="C28" s="44"/>
      <c r="D28" s="44"/>
      <c r="E28" s="44"/>
      <c r="F28" s="44"/>
      <c r="G28" s="44"/>
      <c r="H28" s="44"/>
      <c r="I28" s="44"/>
      <c r="J28" s="44"/>
      <c r="K28" s="44"/>
      <c r="L28" s="44"/>
    </row>
    <row r="29" spans="1:13" ht="15.5" x14ac:dyDescent="0.35">
      <c r="B29" s="44"/>
      <c r="C29" s="44"/>
      <c r="D29" s="44"/>
      <c r="E29" s="44"/>
      <c r="F29" s="44"/>
      <c r="G29" s="44"/>
      <c r="H29" s="44"/>
      <c r="I29" s="44"/>
      <c r="J29" s="44"/>
      <c r="K29" s="44"/>
      <c r="L29" s="44"/>
    </row>
    <row r="30" spans="1:13" ht="15.5" x14ac:dyDescent="0.35">
      <c r="B30" s="45"/>
      <c r="C30" s="45"/>
      <c r="D30" s="45"/>
      <c r="E30" s="45"/>
      <c r="F30" s="45"/>
      <c r="G30" s="45"/>
      <c r="H30" s="45"/>
      <c r="I30" s="45"/>
      <c r="J30" s="45"/>
      <c r="K30" s="45"/>
      <c r="L30" s="45"/>
    </row>
    <row r="31" spans="1:13" ht="15.5" x14ac:dyDescent="0.35">
      <c r="B31" s="45"/>
      <c r="C31" s="45"/>
      <c r="D31" s="45"/>
      <c r="E31" s="45"/>
      <c r="F31" s="45"/>
      <c r="G31" s="45"/>
      <c r="H31" s="45"/>
      <c r="I31" s="45"/>
      <c r="J31" s="45"/>
      <c r="K31" s="45"/>
      <c r="L31" s="45"/>
    </row>
    <row r="34" spans="1:4" ht="15.5" x14ac:dyDescent="0.35">
      <c r="A34" s="43"/>
    </row>
    <row r="38" spans="1:4" ht="15.5" x14ac:dyDescent="0.35">
      <c r="A38" s="44"/>
    </row>
    <row r="39" spans="1:4" ht="15.5" x14ac:dyDescent="0.35">
      <c r="A39" s="43"/>
    </row>
    <row r="40" spans="1:4" ht="15.5" x14ac:dyDescent="0.35">
      <c r="A40" s="44"/>
    </row>
    <row r="41" spans="1:4" ht="15.5" x14ac:dyDescent="0.35">
      <c r="A41" s="43"/>
    </row>
    <row r="42" spans="1:4" ht="15.5" x14ac:dyDescent="0.35">
      <c r="A42" s="44"/>
    </row>
    <row r="43" spans="1:4" ht="15.5" x14ac:dyDescent="0.35">
      <c r="A43" s="43"/>
    </row>
    <row r="44" spans="1:4" ht="15.5" x14ac:dyDescent="0.35">
      <c r="A44" s="43"/>
    </row>
    <row r="45" spans="1:4" ht="15.5" x14ac:dyDescent="0.35">
      <c r="A45" s="43"/>
    </row>
    <row r="46" spans="1:4" ht="15.5" x14ac:dyDescent="0.35">
      <c r="A46" s="43"/>
      <c r="D46" s="21"/>
    </row>
    <row r="47" spans="1:4" ht="15.5" x14ac:dyDescent="0.35">
      <c r="A47" s="43"/>
    </row>
    <row r="48" spans="1:4" ht="15.5" x14ac:dyDescent="0.35">
      <c r="A48" s="44"/>
    </row>
    <row r="49" spans="1:1" ht="15.5" x14ac:dyDescent="0.35">
      <c r="A49" s="44"/>
    </row>
    <row r="50" spans="1:1" ht="15.5" x14ac:dyDescent="0.35">
      <c r="A50" s="45"/>
    </row>
    <row r="51" spans="1:1" ht="15.5" x14ac:dyDescent="0.35">
      <c r="A51" s="45"/>
    </row>
  </sheetData>
  <mergeCells count="1">
    <mergeCell ref="A13:L13"/>
  </mergeCells>
  <conditionalFormatting sqref="I7">
    <cfRule type="dataBar" priority="6">
      <dataBar>
        <cfvo type="num" val="0"/>
        <cfvo type="num" val="1"/>
        <color rgb="FFB4A9D4"/>
      </dataBar>
      <extLst>
        <ext xmlns:x14="http://schemas.microsoft.com/office/spreadsheetml/2009/9/main" uri="{B025F937-C7B1-47D3-B67F-A62EFF666E3E}">
          <x14:id>{4900285C-B661-430E-A5B6-C6D5D1D42732}</x14:id>
        </ext>
      </extLst>
    </cfRule>
  </conditionalFormatting>
  <conditionalFormatting sqref="J7:K7">
    <cfRule type="dataBar" priority="5">
      <dataBar>
        <cfvo type="num" val="0"/>
        <cfvo type="num" val="1"/>
        <color rgb="FFB4A9D4"/>
      </dataBar>
      <extLst>
        <ext xmlns:x14="http://schemas.microsoft.com/office/spreadsheetml/2009/9/main" uri="{B025F937-C7B1-47D3-B67F-A62EFF666E3E}">
          <x14:id>{E64A1001-5ED6-4830-8716-6111B1CEC880}</x14:id>
        </ext>
      </extLst>
    </cfRule>
  </conditionalFormatting>
  <conditionalFormatting sqref="I8:K12">
    <cfRule type="dataBar" priority="4">
      <dataBar>
        <cfvo type="num" val="0"/>
        <cfvo type="num" val="1"/>
        <color rgb="FFB4A9D4"/>
      </dataBar>
      <extLst>
        <ext xmlns:x14="http://schemas.microsoft.com/office/spreadsheetml/2009/9/main" uri="{B025F937-C7B1-47D3-B67F-A62EFF666E3E}">
          <x14:id>{DF4D1B84-A81D-4E2E-BF9E-EFAAC0DA5822}</x14:id>
        </ext>
      </extLst>
    </cfRule>
  </conditionalFormatting>
  <conditionalFormatting sqref="E7:E12">
    <cfRule type="dataBar" priority="3">
      <dataBar>
        <cfvo type="num" val="0"/>
        <cfvo type="num" val="1"/>
        <color rgb="FFB4A9D4"/>
      </dataBar>
      <extLst>
        <ext xmlns:x14="http://schemas.microsoft.com/office/spreadsheetml/2009/9/main" uri="{B025F937-C7B1-47D3-B67F-A62EFF666E3E}">
          <x14:id>{8A4DB90E-0B4A-4C07-AADE-072125234981}</x14:id>
        </ext>
      </extLst>
    </cfRule>
  </conditionalFormatting>
  <conditionalFormatting sqref="C8:C12">
    <cfRule type="dataBar" priority="2">
      <dataBar>
        <cfvo type="num" val="0"/>
        <cfvo type="num" val="1"/>
        <color rgb="FFB4A9D4"/>
      </dataBar>
      <extLst>
        <ext xmlns:x14="http://schemas.microsoft.com/office/spreadsheetml/2009/9/main" uri="{B025F937-C7B1-47D3-B67F-A62EFF666E3E}">
          <x14:id>{17D91D72-3545-4FFB-8130-AF86F3FAF996}</x14:id>
        </ext>
      </extLst>
    </cfRule>
  </conditionalFormatting>
  <conditionalFormatting sqref="C7">
    <cfRule type="dataBar" priority="1">
      <dataBar>
        <cfvo type="num" val="0"/>
        <cfvo type="num" val="1"/>
        <color rgb="FFB4A9D4"/>
      </dataBar>
      <extLst>
        <ext xmlns:x14="http://schemas.microsoft.com/office/spreadsheetml/2009/9/main" uri="{B025F937-C7B1-47D3-B67F-A62EFF666E3E}">
          <x14:id>{8EB1F9A8-F608-411E-A40A-ACBECDEB5573}</x14:id>
        </ext>
      </extLst>
    </cfRule>
  </conditionalFormatting>
  <conditionalFormatting sqref="M14:M23">
    <cfRule type="dataBar" priority="88">
      <dataBar>
        <cfvo type="min"/>
        <cfvo type="max"/>
        <color rgb="FF638EC6"/>
      </dataBar>
      <extLst>
        <ext xmlns:x14="http://schemas.microsoft.com/office/spreadsheetml/2009/9/main" uri="{B025F937-C7B1-47D3-B67F-A62EFF666E3E}">
          <x14:id>{AA9ACD66-CFFF-4DFF-807A-AFBCD23AE811}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900285C-B661-430E-A5B6-C6D5D1D42732}">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E64A1001-5ED6-4830-8716-6111B1CEC880}">
            <x14:dataBar minLength="0" maxLength="100" gradient="0">
              <x14:cfvo type="num">
                <xm:f>0</xm:f>
              </x14:cfvo>
              <x14:cfvo type="num">
                <xm:f>1</xm:f>
              </x14:cfvo>
              <x14:negativeFillColor rgb="FFFF0000"/>
              <x14:axisColor rgb="FF000000"/>
            </x14:dataBar>
          </x14:cfRule>
          <xm:sqref>J7:K7</xm:sqref>
        </x14:conditionalFormatting>
        <x14:conditionalFormatting xmlns:xm="http://schemas.microsoft.com/office/excel/2006/main">
          <x14:cfRule type="dataBar" id="{DF4D1B84-A81D-4E2E-BF9E-EFAAC0DA5822}">
            <x14:dataBar minLength="0" maxLength="100" gradient="0">
              <x14:cfvo type="num">
                <xm:f>0</xm:f>
              </x14:cfvo>
              <x14:cfvo type="num">
                <xm:f>1</xm:f>
              </x14:cfvo>
              <x14:negativeFillColor rgb="FFFF0000"/>
              <x14:axisColor rgb="FF000000"/>
            </x14:dataBar>
          </x14:cfRule>
          <xm:sqref>I8:K12</xm:sqref>
        </x14:conditionalFormatting>
        <x14:conditionalFormatting xmlns:xm="http://schemas.microsoft.com/office/excel/2006/main">
          <x14:cfRule type="dataBar" id="{8A4DB90E-0B4A-4C07-AADE-072125234981}">
            <x14:dataBar minLength="0" maxLength="100" gradient="0">
              <x14:cfvo type="num">
                <xm:f>0</xm:f>
              </x14:cfvo>
              <x14:cfvo type="num">
                <xm:f>1</xm:f>
              </x14:cfvo>
              <x14:negativeFillColor rgb="FFFF0000"/>
              <x14:axisColor rgb="FF000000"/>
            </x14:dataBar>
          </x14:cfRule>
          <xm:sqref>E7:E12</xm:sqref>
        </x14:conditionalFormatting>
        <x14:conditionalFormatting xmlns:xm="http://schemas.microsoft.com/office/excel/2006/main">
          <x14:cfRule type="dataBar" id="{17D91D72-3545-4FFB-8130-AF86F3FAF996}">
            <x14:dataBar minLength="0" maxLength="100" gradient="0">
              <x14:cfvo type="num">
                <xm:f>0</xm:f>
              </x14:cfvo>
              <x14:cfvo type="num">
                <xm:f>1</xm:f>
              </x14:cfvo>
              <x14:negativeFillColor rgb="FFFF0000"/>
              <x14:axisColor rgb="FF000000"/>
            </x14:dataBar>
          </x14:cfRule>
          <xm:sqref>C8:C12</xm:sqref>
        </x14:conditionalFormatting>
        <x14:conditionalFormatting xmlns:xm="http://schemas.microsoft.com/office/excel/2006/main">
          <x14:cfRule type="dataBar" id="{8EB1F9A8-F608-411E-A40A-ACBECDEB557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AA9ACD66-CFFF-4DFF-807A-AFBCD23AE811}">
            <x14:dataBar minLength="0" maxLength="100" border="1" negativeBarBorderColorSameAsPositive="0">
              <x14:cfvo type="autoMin"/>
              <x14:cfvo type="autoMax"/>
              <x14:borderColor rgb="FF638EC6"/>
              <x14:negativeFillColor rgb="FFFF0000"/>
              <x14:negativeBorderColor rgb="FFFF0000"/>
              <x14:axisColor rgb="FF000000"/>
            </x14:dataBar>
          </x14:cfRule>
          <xm:sqref>M14:M23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6"/>
  <sheetViews>
    <sheetView zoomScale="75" zoomScaleNormal="75" workbookViewId="0"/>
  </sheetViews>
  <sheetFormatPr defaultRowHeight="14.5" x14ac:dyDescent="0.35"/>
  <cols>
    <col min="1" max="1" width="33.81640625" customWidth="1"/>
    <col min="2" max="5" width="24.26953125" customWidth="1"/>
    <col min="6" max="6" width="24.26953125" style="21" customWidth="1"/>
    <col min="7" max="9" width="24.26953125" customWidth="1"/>
    <col min="10" max="10" width="14.26953125" customWidth="1"/>
    <col min="11" max="27" width="10.1796875" customWidth="1"/>
    <col min="28" max="28" width="12.1796875" customWidth="1"/>
    <col min="29" max="29" width="12" customWidth="1"/>
  </cols>
  <sheetData>
    <row r="1" spans="1:14" ht="21" x14ac:dyDescent="0.5">
      <c r="A1" s="29" t="s">
        <v>24</v>
      </c>
      <c r="B1" s="29"/>
      <c r="C1" s="29"/>
      <c r="D1" s="29"/>
      <c r="E1" s="29"/>
      <c r="F1" s="29"/>
      <c r="G1" s="29"/>
      <c r="H1" s="29"/>
      <c r="I1" s="29"/>
      <c r="J1" s="29"/>
      <c r="K1" s="29"/>
      <c r="L1" s="29"/>
      <c r="M1" s="29"/>
      <c r="N1" s="29"/>
    </row>
    <row r="2" spans="1:14" ht="15.5" x14ac:dyDescent="0.35">
      <c r="A2" s="80" t="s">
        <v>696</v>
      </c>
      <c r="B2" s="26"/>
      <c r="C2" s="26"/>
      <c r="D2" s="26"/>
      <c r="E2" s="26"/>
      <c r="F2" s="36"/>
      <c r="G2" s="26"/>
      <c r="H2" s="26"/>
      <c r="I2" s="26"/>
      <c r="J2" s="26"/>
      <c r="K2" s="26"/>
      <c r="L2" s="26"/>
      <c r="M2" s="26"/>
      <c r="N2" s="26"/>
    </row>
    <row r="3" spans="1:14" ht="15.5" x14ac:dyDescent="0.35">
      <c r="A3" s="25" t="s">
        <v>309</v>
      </c>
      <c r="B3" s="25"/>
      <c r="C3" s="25"/>
      <c r="D3" s="25"/>
      <c r="E3" s="25"/>
      <c r="F3" s="25"/>
      <c r="G3" s="25"/>
      <c r="H3" s="25"/>
      <c r="I3" s="25"/>
      <c r="J3" s="25"/>
      <c r="K3" s="25"/>
      <c r="L3" s="25"/>
      <c r="M3" s="25"/>
      <c r="N3" s="25"/>
    </row>
    <row r="4" spans="1:14" ht="101.15" customHeight="1" x14ac:dyDescent="0.35">
      <c r="A4" s="46" t="s">
        <v>756</v>
      </c>
      <c r="B4" s="47" t="s">
        <v>7</v>
      </c>
      <c r="C4" s="47" t="s">
        <v>62</v>
      </c>
      <c r="D4" s="88" t="s">
        <v>754</v>
      </c>
      <c r="E4" s="88" t="s">
        <v>643</v>
      </c>
      <c r="F4" s="88" t="s">
        <v>656</v>
      </c>
      <c r="G4" s="88" t="s">
        <v>755</v>
      </c>
      <c r="H4" s="47" t="s">
        <v>346</v>
      </c>
      <c r="I4" s="47" t="s">
        <v>536</v>
      </c>
      <c r="K4" s="4"/>
    </row>
    <row r="5" spans="1:14" ht="15.5" x14ac:dyDescent="0.35">
      <c r="A5" s="87" t="s">
        <v>7</v>
      </c>
      <c r="B5" s="113">
        <v>276250</v>
      </c>
      <c r="C5" s="113">
        <v>254735</v>
      </c>
      <c r="D5" s="113">
        <v>3365</v>
      </c>
      <c r="E5" s="113">
        <v>15260</v>
      </c>
      <c r="F5" s="113">
        <v>21165</v>
      </c>
      <c r="G5" s="113">
        <v>350</v>
      </c>
      <c r="H5" s="194">
        <v>0.92</v>
      </c>
      <c r="I5" s="194">
        <v>0.08</v>
      </c>
      <c r="K5" s="4"/>
    </row>
    <row r="6" spans="1:14" ht="15.5" x14ac:dyDescent="0.35">
      <c r="A6" s="34" t="s">
        <v>278</v>
      </c>
      <c r="B6" s="111">
        <v>9900</v>
      </c>
      <c r="C6" s="111">
        <v>8800</v>
      </c>
      <c r="D6" s="151" t="s">
        <v>539</v>
      </c>
      <c r="E6" s="151" t="s">
        <v>539</v>
      </c>
      <c r="F6" s="111">
        <v>1090</v>
      </c>
      <c r="G6" s="111">
        <v>5</v>
      </c>
      <c r="H6" s="97">
        <v>0.89</v>
      </c>
      <c r="I6" s="97">
        <v>0.11</v>
      </c>
    </row>
    <row r="7" spans="1:14" ht="15.5" x14ac:dyDescent="0.35">
      <c r="A7" s="34" t="s">
        <v>279</v>
      </c>
      <c r="B7" s="111">
        <v>4025</v>
      </c>
      <c r="C7" s="111">
        <v>3645</v>
      </c>
      <c r="D7" s="151" t="s">
        <v>537</v>
      </c>
      <c r="E7" s="151" t="s">
        <v>537</v>
      </c>
      <c r="F7" s="111">
        <v>370</v>
      </c>
      <c r="G7" s="111">
        <v>10</v>
      </c>
      <c r="H7" s="97">
        <v>0.91</v>
      </c>
      <c r="I7" s="97">
        <v>0.09</v>
      </c>
      <c r="K7" s="4"/>
    </row>
    <row r="8" spans="1:14" ht="15.5" x14ac:dyDescent="0.35">
      <c r="A8" s="34" t="s">
        <v>280</v>
      </c>
      <c r="B8" s="111">
        <v>2585</v>
      </c>
      <c r="C8" s="111">
        <v>2280</v>
      </c>
      <c r="D8" s="151" t="s">
        <v>538</v>
      </c>
      <c r="E8" s="151" t="s">
        <v>538</v>
      </c>
      <c r="F8" s="111">
        <v>300</v>
      </c>
      <c r="G8" s="111">
        <v>10</v>
      </c>
      <c r="H8" s="97">
        <v>0.88</v>
      </c>
      <c r="I8" s="97">
        <v>0.11</v>
      </c>
    </row>
    <row r="9" spans="1:14" ht="15.5" x14ac:dyDescent="0.35">
      <c r="A9" s="34" t="s">
        <v>283</v>
      </c>
      <c r="B9" s="111">
        <v>2970</v>
      </c>
      <c r="C9" s="111">
        <v>2635</v>
      </c>
      <c r="D9" s="151" t="s">
        <v>540</v>
      </c>
      <c r="E9" s="151" t="s">
        <v>540</v>
      </c>
      <c r="F9" s="111">
        <v>330</v>
      </c>
      <c r="G9" s="111">
        <v>5</v>
      </c>
      <c r="H9" s="97">
        <v>0.89</v>
      </c>
      <c r="I9" s="97">
        <v>0.11</v>
      </c>
    </row>
    <row r="10" spans="1:14" ht="15.5" x14ac:dyDescent="0.35">
      <c r="A10" s="34" t="s">
        <v>284</v>
      </c>
      <c r="B10" s="111">
        <v>8650</v>
      </c>
      <c r="C10" s="111">
        <v>8195</v>
      </c>
      <c r="D10" s="151" t="s">
        <v>541</v>
      </c>
      <c r="E10" s="151" t="s">
        <v>541</v>
      </c>
      <c r="F10" s="111">
        <v>450</v>
      </c>
      <c r="G10" s="111">
        <v>5</v>
      </c>
      <c r="H10" s="97">
        <v>0.95</v>
      </c>
      <c r="I10" s="97">
        <v>0.05</v>
      </c>
    </row>
    <row r="11" spans="1:14" ht="15.5" x14ac:dyDescent="0.35">
      <c r="A11" s="34" t="s">
        <v>285</v>
      </c>
      <c r="B11" s="111">
        <v>18610</v>
      </c>
      <c r="C11" s="111">
        <v>17765</v>
      </c>
      <c r="D11" s="111">
        <v>100</v>
      </c>
      <c r="E11" s="111">
        <v>695</v>
      </c>
      <c r="F11" s="151" t="s">
        <v>585</v>
      </c>
      <c r="G11" s="111">
        <v>50</v>
      </c>
      <c r="H11" s="97">
        <v>0.95</v>
      </c>
      <c r="I11" s="97">
        <v>0.04</v>
      </c>
    </row>
    <row r="12" spans="1:14" ht="15.5" x14ac:dyDescent="0.35">
      <c r="A12" s="34" t="s">
        <v>286</v>
      </c>
      <c r="B12" s="111">
        <v>24930</v>
      </c>
      <c r="C12" s="111">
        <v>23575</v>
      </c>
      <c r="D12" s="111">
        <v>100</v>
      </c>
      <c r="E12" s="111">
        <v>1240</v>
      </c>
      <c r="F12" s="151" t="s">
        <v>586</v>
      </c>
      <c r="G12" s="111">
        <v>20</v>
      </c>
      <c r="H12" s="97">
        <v>0.95</v>
      </c>
      <c r="I12" s="97">
        <v>0.05</v>
      </c>
    </row>
    <row r="13" spans="1:14" ht="15.5" x14ac:dyDescent="0.35">
      <c r="A13" s="34" t="s">
        <v>287</v>
      </c>
      <c r="B13" s="111">
        <v>7730</v>
      </c>
      <c r="C13" s="111">
        <v>7175</v>
      </c>
      <c r="D13" s="111">
        <v>65</v>
      </c>
      <c r="E13" s="111">
        <v>480</v>
      </c>
      <c r="F13" s="151" t="s">
        <v>587</v>
      </c>
      <c r="G13" s="111">
        <v>10</v>
      </c>
      <c r="H13" s="97">
        <v>0.93</v>
      </c>
      <c r="I13" s="97">
        <v>7.0000000000000007E-2</v>
      </c>
    </row>
    <row r="14" spans="1:14" ht="15.5" x14ac:dyDescent="0.35">
      <c r="A14" s="34" t="s">
        <v>288</v>
      </c>
      <c r="B14" s="111">
        <v>10220</v>
      </c>
      <c r="C14" s="111">
        <v>9285</v>
      </c>
      <c r="D14" s="111">
        <v>90</v>
      </c>
      <c r="E14" s="111">
        <v>815</v>
      </c>
      <c r="F14" s="151" t="s">
        <v>588</v>
      </c>
      <c r="G14" s="111">
        <v>30</v>
      </c>
      <c r="H14" s="97">
        <v>0.91</v>
      </c>
      <c r="I14" s="97">
        <v>0.09</v>
      </c>
    </row>
    <row r="15" spans="1:14" ht="15.5" x14ac:dyDescent="0.35">
      <c r="A15" s="34" t="s">
        <v>289</v>
      </c>
      <c r="B15" s="111">
        <v>7035</v>
      </c>
      <c r="C15" s="111">
        <v>6125</v>
      </c>
      <c r="D15" s="111">
        <v>90</v>
      </c>
      <c r="E15" s="111">
        <v>795</v>
      </c>
      <c r="F15" s="151" t="s">
        <v>589</v>
      </c>
      <c r="G15" s="111">
        <v>30</v>
      </c>
      <c r="H15" s="97">
        <v>0.87</v>
      </c>
      <c r="I15" s="97">
        <v>0.13</v>
      </c>
    </row>
    <row r="16" spans="1:14" ht="15.5" x14ac:dyDescent="0.35">
      <c r="A16" s="34" t="s">
        <v>290</v>
      </c>
      <c r="B16" s="111">
        <v>7740</v>
      </c>
      <c r="C16" s="111">
        <v>6755</v>
      </c>
      <c r="D16" s="111">
        <v>75</v>
      </c>
      <c r="E16" s="111">
        <v>875</v>
      </c>
      <c r="F16" s="151" t="s">
        <v>590</v>
      </c>
      <c r="G16" s="111">
        <v>35</v>
      </c>
      <c r="H16" s="97">
        <v>0.87</v>
      </c>
      <c r="I16" s="97">
        <v>0.12</v>
      </c>
    </row>
    <row r="17" spans="1:9" ht="15.5" x14ac:dyDescent="0.35">
      <c r="A17" s="34" t="s">
        <v>291</v>
      </c>
      <c r="B17" s="111">
        <v>11470</v>
      </c>
      <c r="C17" s="111">
        <v>10555</v>
      </c>
      <c r="D17" s="111">
        <v>40</v>
      </c>
      <c r="E17" s="111">
        <v>860</v>
      </c>
      <c r="F17" s="151" t="s">
        <v>591</v>
      </c>
      <c r="G17" s="111">
        <v>15</v>
      </c>
      <c r="H17" s="97">
        <v>0.92</v>
      </c>
      <c r="I17" s="97">
        <v>0.08</v>
      </c>
    </row>
    <row r="18" spans="1:9" ht="15.5" x14ac:dyDescent="0.35">
      <c r="A18" s="34" t="s">
        <v>292</v>
      </c>
      <c r="B18" s="111">
        <v>4875</v>
      </c>
      <c r="C18" s="111">
        <v>4330</v>
      </c>
      <c r="D18" s="111">
        <v>60</v>
      </c>
      <c r="E18" s="111">
        <v>480</v>
      </c>
      <c r="F18" s="151" t="s">
        <v>592</v>
      </c>
      <c r="G18" s="111">
        <v>5</v>
      </c>
      <c r="H18" s="97">
        <v>0.89</v>
      </c>
      <c r="I18" s="97">
        <v>0.11</v>
      </c>
    </row>
    <row r="19" spans="1:9" ht="17.149999999999999" customHeight="1" x14ac:dyDescent="0.35">
      <c r="A19" s="79" t="s">
        <v>293</v>
      </c>
      <c r="B19" s="111">
        <v>7380</v>
      </c>
      <c r="C19" s="111">
        <v>6615</v>
      </c>
      <c r="D19" s="111">
        <v>70</v>
      </c>
      <c r="E19" s="111">
        <v>685</v>
      </c>
      <c r="F19" s="151" t="s">
        <v>593</v>
      </c>
      <c r="G19" s="111">
        <v>10</v>
      </c>
      <c r="H19" s="97">
        <v>0.9</v>
      </c>
      <c r="I19" s="97">
        <v>0.1</v>
      </c>
    </row>
    <row r="20" spans="1:9" ht="15.5" x14ac:dyDescent="0.35">
      <c r="A20" s="79" t="s">
        <v>281</v>
      </c>
      <c r="B20" s="111">
        <v>13760</v>
      </c>
      <c r="C20" s="111">
        <v>12290</v>
      </c>
      <c r="D20" s="111">
        <v>90</v>
      </c>
      <c r="E20" s="111">
        <v>1375</v>
      </c>
      <c r="F20" s="151" t="s">
        <v>594</v>
      </c>
      <c r="G20" s="111">
        <v>5</v>
      </c>
      <c r="H20" s="97">
        <v>0.89</v>
      </c>
      <c r="I20" s="97">
        <v>0.11</v>
      </c>
    </row>
    <row r="21" spans="1:9" ht="15.5" x14ac:dyDescent="0.35">
      <c r="A21" s="79" t="s">
        <v>294</v>
      </c>
      <c r="B21" s="111">
        <v>5670</v>
      </c>
      <c r="C21" s="111">
        <v>5160</v>
      </c>
      <c r="D21" s="111">
        <v>45</v>
      </c>
      <c r="E21" s="111">
        <v>460</v>
      </c>
      <c r="F21" s="151" t="s">
        <v>595</v>
      </c>
      <c r="G21" s="111">
        <v>5</v>
      </c>
      <c r="H21" s="97">
        <v>0.91</v>
      </c>
      <c r="I21" s="97">
        <v>0.09</v>
      </c>
    </row>
    <row r="22" spans="1:9" ht="15.5" x14ac:dyDescent="0.35">
      <c r="A22" s="79" t="s">
        <v>295</v>
      </c>
      <c r="B22" s="111">
        <v>5735</v>
      </c>
      <c r="C22" s="111">
        <v>5610</v>
      </c>
      <c r="D22" s="111">
        <v>65</v>
      </c>
      <c r="E22" s="111">
        <v>60</v>
      </c>
      <c r="F22" s="151" t="s">
        <v>596</v>
      </c>
      <c r="G22" s="111">
        <v>0</v>
      </c>
      <c r="H22" s="97">
        <v>0.98</v>
      </c>
      <c r="I22" s="97">
        <v>0.02</v>
      </c>
    </row>
    <row r="23" spans="1:9" ht="15.5" x14ac:dyDescent="0.35">
      <c r="A23" s="79" t="s">
        <v>296</v>
      </c>
      <c r="B23" s="111">
        <v>6830</v>
      </c>
      <c r="C23" s="111">
        <v>6700</v>
      </c>
      <c r="D23" s="111">
        <v>80</v>
      </c>
      <c r="E23" s="111">
        <v>50</v>
      </c>
      <c r="F23" s="151" t="s">
        <v>597</v>
      </c>
      <c r="G23" s="111">
        <v>0</v>
      </c>
      <c r="H23" s="97">
        <v>0.98</v>
      </c>
      <c r="I23" s="97">
        <v>0.02</v>
      </c>
    </row>
    <row r="24" spans="1:9" ht="15.5" x14ac:dyDescent="0.35">
      <c r="A24" s="79" t="s">
        <v>297</v>
      </c>
      <c r="B24" s="111">
        <v>25575</v>
      </c>
      <c r="C24" s="111">
        <v>24795</v>
      </c>
      <c r="D24" s="111">
        <v>555</v>
      </c>
      <c r="E24" s="111">
        <v>220</v>
      </c>
      <c r="F24" s="151" t="s">
        <v>598</v>
      </c>
      <c r="G24" s="111">
        <v>5</v>
      </c>
      <c r="H24" s="97">
        <v>0.97</v>
      </c>
      <c r="I24" s="97">
        <v>0.03</v>
      </c>
    </row>
    <row r="25" spans="1:9" ht="15.5" x14ac:dyDescent="0.35">
      <c r="A25" s="79" t="s">
        <v>298</v>
      </c>
      <c r="B25" s="111">
        <v>8765</v>
      </c>
      <c r="C25" s="111">
        <v>8270</v>
      </c>
      <c r="D25" s="111">
        <v>210</v>
      </c>
      <c r="E25" s="111">
        <v>285</v>
      </c>
      <c r="F25" s="151" t="s">
        <v>599</v>
      </c>
      <c r="G25" s="111">
        <v>5</v>
      </c>
      <c r="H25" s="97">
        <v>0.94</v>
      </c>
      <c r="I25" s="97">
        <v>0.06</v>
      </c>
    </row>
    <row r="26" spans="1:9" ht="15.5" x14ac:dyDescent="0.35">
      <c r="A26" s="79" t="s">
        <v>299</v>
      </c>
      <c r="B26" s="111">
        <v>9805</v>
      </c>
      <c r="C26" s="111">
        <v>9100</v>
      </c>
      <c r="D26" s="111">
        <v>230</v>
      </c>
      <c r="E26" s="111">
        <v>470</v>
      </c>
      <c r="F26" s="151" t="s">
        <v>600</v>
      </c>
      <c r="G26" s="111">
        <v>5</v>
      </c>
      <c r="H26" s="97">
        <v>0.93</v>
      </c>
      <c r="I26" s="97">
        <v>7.0000000000000007E-2</v>
      </c>
    </row>
    <row r="27" spans="1:9" ht="15.5" x14ac:dyDescent="0.35">
      <c r="A27" s="79" t="s">
        <v>300</v>
      </c>
      <c r="B27" s="111">
        <v>7975</v>
      </c>
      <c r="C27" s="111">
        <v>7135</v>
      </c>
      <c r="D27" s="111">
        <v>195</v>
      </c>
      <c r="E27" s="111">
        <v>640</v>
      </c>
      <c r="F27" s="151" t="s">
        <v>601</v>
      </c>
      <c r="G27" s="111">
        <v>5</v>
      </c>
      <c r="H27" s="97">
        <v>0.89</v>
      </c>
      <c r="I27" s="97">
        <v>0.1</v>
      </c>
    </row>
    <row r="28" spans="1:9" ht="15.5" x14ac:dyDescent="0.35">
      <c r="A28" s="79" t="s">
        <v>301</v>
      </c>
      <c r="B28" s="111">
        <v>5185</v>
      </c>
      <c r="C28" s="111">
        <v>4575</v>
      </c>
      <c r="D28" s="111">
        <v>190</v>
      </c>
      <c r="E28" s="111">
        <v>415</v>
      </c>
      <c r="F28" s="151" t="s">
        <v>602</v>
      </c>
      <c r="G28" s="111">
        <v>10</v>
      </c>
      <c r="H28" s="97">
        <v>0.88</v>
      </c>
      <c r="I28" s="97">
        <v>0.12</v>
      </c>
    </row>
    <row r="29" spans="1:9" ht="15.5" x14ac:dyDescent="0.35">
      <c r="A29" s="79" t="s">
        <v>302</v>
      </c>
      <c r="B29" s="111">
        <v>13605</v>
      </c>
      <c r="C29" s="111">
        <v>12175</v>
      </c>
      <c r="D29" s="111">
        <v>345</v>
      </c>
      <c r="E29" s="111">
        <v>1070</v>
      </c>
      <c r="F29" s="151" t="s">
        <v>603</v>
      </c>
      <c r="G29" s="111">
        <v>15</v>
      </c>
      <c r="H29" s="97">
        <v>0.89</v>
      </c>
      <c r="I29" s="97">
        <v>0.1</v>
      </c>
    </row>
    <row r="30" spans="1:9" ht="15.5" x14ac:dyDescent="0.35">
      <c r="A30" s="79" t="s">
        <v>303</v>
      </c>
      <c r="B30" s="111">
        <v>5980</v>
      </c>
      <c r="C30" s="111">
        <v>5405</v>
      </c>
      <c r="D30" s="111">
        <v>125</v>
      </c>
      <c r="E30" s="111">
        <v>445</v>
      </c>
      <c r="F30" s="151" t="s">
        <v>604</v>
      </c>
      <c r="G30" s="111">
        <v>10</v>
      </c>
      <c r="H30" s="97">
        <v>0.9</v>
      </c>
      <c r="I30" s="97">
        <v>0.09</v>
      </c>
    </row>
    <row r="31" spans="1:9" ht="15.5" x14ac:dyDescent="0.35">
      <c r="A31" s="79" t="s">
        <v>304</v>
      </c>
      <c r="B31" s="111">
        <v>10070</v>
      </c>
      <c r="C31" s="111">
        <v>9330</v>
      </c>
      <c r="D31" s="111">
        <v>170</v>
      </c>
      <c r="E31" s="111">
        <v>565</v>
      </c>
      <c r="F31" s="151" t="s">
        <v>605</v>
      </c>
      <c r="G31" s="111">
        <v>10</v>
      </c>
      <c r="H31" s="97">
        <v>0.93</v>
      </c>
      <c r="I31" s="97">
        <v>7.0000000000000007E-2</v>
      </c>
    </row>
    <row r="32" spans="1:9" ht="15.5" x14ac:dyDescent="0.35">
      <c r="A32" s="79" t="s">
        <v>282</v>
      </c>
      <c r="B32" s="111">
        <v>13500</v>
      </c>
      <c r="C32" s="111">
        <v>12495</v>
      </c>
      <c r="D32" s="111">
        <v>205</v>
      </c>
      <c r="E32" s="111">
        <v>795</v>
      </c>
      <c r="F32" s="151" t="s">
        <v>606</v>
      </c>
      <c r="G32" s="111">
        <v>5</v>
      </c>
      <c r="H32" s="97">
        <v>0.93</v>
      </c>
      <c r="I32" s="97">
        <v>7.0000000000000007E-2</v>
      </c>
    </row>
    <row r="33" spans="1:14" ht="15.5" x14ac:dyDescent="0.35">
      <c r="A33" s="79" t="s">
        <v>305</v>
      </c>
      <c r="B33" s="111">
        <v>5510</v>
      </c>
      <c r="C33" s="111">
        <v>4920</v>
      </c>
      <c r="D33" s="111">
        <v>70</v>
      </c>
      <c r="E33" s="111">
        <v>505</v>
      </c>
      <c r="F33" s="151" t="s">
        <v>607</v>
      </c>
      <c r="G33" s="111">
        <v>15</v>
      </c>
      <c r="H33" s="97">
        <v>0.89</v>
      </c>
      <c r="I33" s="97">
        <v>0.1</v>
      </c>
    </row>
    <row r="34" spans="1:14" ht="15.5" x14ac:dyDescent="0.35">
      <c r="A34" s="79" t="s">
        <v>306</v>
      </c>
      <c r="B34" s="111">
        <v>4730</v>
      </c>
      <c r="C34" s="111">
        <v>4180</v>
      </c>
      <c r="D34" s="111">
        <v>60</v>
      </c>
      <c r="E34" s="111">
        <v>485</v>
      </c>
      <c r="F34" s="151" t="s">
        <v>608</v>
      </c>
      <c r="G34" s="111">
        <v>10</v>
      </c>
      <c r="H34" s="97">
        <v>0.88</v>
      </c>
      <c r="I34" s="97">
        <v>0.11</v>
      </c>
    </row>
    <row r="35" spans="1:14" ht="15.5" x14ac:dyDescent="0.35">
      <c r="A35" s="81" t="s">
        <v>307</v>
      </c>
      <c r="B35" s="111">
        <v>5425</v>
      </c>
      <c r="C35" s="111">
        <v>4875</v>
      </c>
      <c r="D35" s="111">
        <v>50</v>
      </c>
      <c r="E35" s="111">
        <v>490</v>
      </c>
      <c r="F35" s="151" t="s">
        <v>609</v>
      </c>
      <c r="G35" s="111">
        <v>10</v>
      </c>
      <c r="H35" s="97">
        <v>0.9</v>
      </c>
      <c r="I35" s="97">
        <v>0.1</v>
      </c>
      <c r="J35" s="56"/>
      <c r="K35" s="56"/>
      <c r="L35" s="56"/>
    </row>
    <row r="36" spans="1:14" ht="15.5" x14ac:dyDescent="0.35">
      <c r="A36" s="147" t="s">
        <v>9</v>
      </c>
      <c r="B36" s="134"/>
      <c r="C36" s="134"/>
      <c r="D36" s="76"/>
      <c r="E36" s="76"/>
      <c r="F36" s="76"/>
      <c r="G36" s="76"/>
      <c r="H36" s="76"/>
      <c r="I36" s="76"/>
      <c r="J36" s="56"/>
      <c r="K36" s="56"/>
      <c r="L36" s="56"/>
      <c r="M36" s="56"/>
      <c r="N36" s="56"/>
    </row>
    <row r="37" spans="1:14" s="21" customFormat="1" ht="15.5" x14ac:dyDescent="0.35">
      <c r="A37" s="44" t="s">
        <v>644</v>
      </c>
      <c r="B37" s="136"/>
      <c r="C37" s="136"/>
      <c r="D37" s="136"/>
      <c r="E37" s="136"/>
      <c r="F37" s="136"/>
      <c r="G37" s="136"/>
      <c r="H37" s="181"/>
      <c r="I37" s="182"/>
      <c r="J37" s="76"/>
      <c r="K37" s="76"/>
      <c r="L37" s="76"/>
      <c r="M37" s="76"/>
      <c r="N37" s="76"/>
    </row>
    <row r="38" spans="1:14" ht="18" customHeight="1" x14ac:dyDescent="0.35">
      <c r="A38" s="44" t="s">
        <v>645</v>
      </c>
      <c r="B38" s="44"/>
      <c r="C38" s="44"/>
      <c r="D38" s="44"/>
      <c r="E38" s="44"/>
      <c r="F38" s="44"/>
      <c r="G38" s="44"/>
      <c r="H38" s="44"/>
      <c r="I38" s="57"/>
      <c r="J38" s="57"/>
      <c r="K38" s="57"/>
      <c r="L38" s="57"/>
      <c r="M38" s="57"/>
      <c r="N38" s="57"/>
    </row>
    <row r="39" spans="1:14" ht="137.5" customHeight="1" x14ac:dyDescent="0.35">
      <c r="A39" s="43" t="s">
        <v>646</v>
      </c>
      <c r="B39" s="43"/>
      <c r="C39" s="43"/>
      <c r="D39" s="43"/>
      <c r="E39" s="43"/>
      <c r="F39" s="43"/>
      <c r="G39" s="43"/>
      <c r="H39" s="43"/>
      <c r="I39" s="58"/>
      <c r="J39" s="58"/>
      <c r="K39" s="58"/>
      <c r="L39" s="58"/>
      <c r="M39" s="58"/>
      <c r="N39" s="58"/>
    </row>
    <row r="40" spans="1:14" ht="17.149999999999999" customHeight="1" x14ac:dyDescent="0.35">
      <c r="A40" s="44" t="s">
        <v>647</v>
      </c>
      <c r="B40" s="44"/>
      <c r="C40" s="44"/>
      <c r="D40" s="44"/>
      <c r="E40" s="44"/>
      <c r="F40" s="44"/>
      <c r="G40" s="44"/>
      <c r="H40" s="44"/>
      <c r="I40" s="56"/>
      <c r="J40" s="56"/>
      <c r="K40" s="56"/>
      <c r="L40" s="56"/>
      <c r="M40" s="56"/>
      <c r="N40" s="56"/>
    </row>
    <row r="41" spans="1:14" ht="15.5" x14ac:dyDescent="0.35">
      <c r="A41" s="44"/>
      <c r="B41" s="44"/>
      <c r="C41" s="44"/>
      <c r="D41" s="44"/>
      <c r="E41" s="44"/>
      <c r="F41" s="44"/>
      <c r="G41" s="44"/>
      <c r="H41" s="44"/>
    </row>
    <row r="42" spans="1:14" ht="15.5" x14ac:dyDescent="0.35">
      <c r="A42" s="44"/>
      <c r="B42" s="43"/>
      <c r="C42" s="43"/>
      <c r="D42" s="43"/>
      <c r="E42" s="43"/>
      <c r="F42" s="43"/>
      <c r="G42" s="43"/>
      <c r="H42" s="43"/>
    </row>
    <row r="43" spans="1:14" ht="15.5" x14ac:dyDescent="0.35">
      <c r="A43" s="44"/>
      <c r="B43" s="43"/>
      <c r="C43" s="43"/>
      <c r="D43" s="43"/>
      <c r="E43" s="43"/>
      <c r="F43" s="43"/>
      <c r="G43" s="43"/>
      <c r="H43" s="43"/>
    </row>
    <row r="44" spans="1:14" ht="15.5" x14ac:dyDescent="0.35">
      <c r="A44" s="44"/>
      <c r="B44" s="43"/>
      <c r="C44" s="43"/>
      <c r="D44" s="43"/>
      <c r="E44" s="43"/>
      <c r="F44" s="43"/>
      <c r="G44" s="43"/>
      <c r="H44" s="43"/>
    </row>
    <row r="45" spans="1:14" ht="15.5" x14ac:dyDescent="0.35">
      <c r="A45" s="44"/>
      <c r="B45" s="43"/>
      <c r="C45" s="43"/>
      <c r="D45" s="43"/>
      <c r="E45" s="43"/>
      <c r="F45" s="43"/>
      <c r="G45" s="43"/>
      <c r="H45" s="43"/>
    </row>
    <row r="46" spans="1:14" ht="15.5" x14ac:dyDescent="0.35">
      <c r="A46" s="44"/>
      <c r="B46" s="43"/>
      <c r="C46" s="43"/>
      <c r="D46" s="43"/>
      <c r="E46" s="43"/>
      <c r="F46" s="43"/>
      <c r="G46" s="43"/>
      <c r="H46" s="43"/>
    </row>
    <row r="47" spans="1:14" ht="15.5" x14ac:dyDescent="0.35">
      <c r="A47" s="44"/>
      <c r="B47" s="44"/>
      <c r="C47" s="44"/>
      <c r="D47" s="44"/>
      <c r="E47" s="44"/>
      <c r="F47" s="44"/>
      <c r="G47" s="44"/>
      <c r="H47" s="44"/>
    </row>
    <row r="48" spans="1:14" ht="15.5" x14ac:dyDescent="0.35">
      <c r="A48" s="44"/>
      <c r="B48" s="44"/>
      <c r="C48" s="44"/>
      <c r="D48" s="44"/>
      <c r="E48" s="44"/>
      <c r="F48" s="44"/>
      <c r="G48" s="44"/>
      <c r="H48" s="44"/>
    </row>
    <row r="49" spans="1:8" ht="15.5" x14ac:dyDescent="0.35">
      <c r="A49" s="45"/>
      <c r="B49" s="45"/>
      <c r="C49" s="45"/>
      <c r="D49" s="45"/>
      <c r="E49" s="45"/>
      <c r="F49" s="45"/>
      <c r="G49" s="45"/>
      <c r="H49" s="45"/>
    </row>
    <row r="50" spans="1:8" ht="15.5" x14ac:dyDescent="0.35">
      <c r="A50" s="45"/>
      <c r="B50" s="45"/>
      <c r="C50" s="45"/>
      <c r="D50" s="45"/>
      <c r="E50" s="45"/>
      <c r="F50" s="45"/>
      <c r="G50" s="45"/>
      <c r="H50" s="45"/>
    </row>
    <row r="52" spans="1:8" x14ac:dyDescent="0.35">
      <c r="A52" s="56"/>
      <c r="B52" s="56"/>
      <c r="C52" s="56"/>
      <c r="D52" s="56"/>
      <c r="E52" s="56"/>
      <c r="F52" s="76"/>
      <c r="G52" s="56"/>
      <c r="H52" s="56"/>
    </row>
    <row r="53" spans="1:8" x14ac:dyDescent="0.35">
      <c r="A53" s="56"/>
      <c r="B53" s="56"/>
      <c r="C53" s="56"/>
      <c r="D53" s="56"/>
      <c r="E53" s="56"/>
      <c r="F53" s="76"/>
      <c r="G53" s="56"/>
      <c r="H53" s="56"/>
    </row>
    <row r="54" spans="1:8" x14ac:dyDescent="0.35">
      <c r="A54" s="57"/>
      <c r="B54" s="57"/>
      <c r="C54" s="57"/>
      <c r="D54" s="57"/>
      <c r="E54" s="57"/>
      <c r="F54" s="57"/>
      <c r="G54" s="57"/>
      <c r="H54" s="57"/>
    </row>
    <row r="55" spans="1:8" x14ac:dyDescent="0.35">
      <c r="A55" s="58"/>
      <c r="B55" s="58"/>
      <c r="C55" s="58"/>
      <c r="D55" s="58"/>
      <c r="E55" s="58"/>
      <c r="F55" s="77"/>
      <c r="G55" s="58"/>
      <c r="H55" s="58"/>
    </row>
    <row r="56" spans="1:8" x14ac:dyDescent="0.35">
      <c r="A56" s="56"/>
      <c r="B56" s="56"/>
      <c r="C56" s="56"/>
      <c r="D56" s="56"/>
      <c r="E56" s="56"/>
      <c r="F56" s="76"/>
      <c r="G56" s="56"/>
      <c r="H56" s="56"/>
    </row>
  </sheetData>
  <conditionalFormatting sqref="H5:H35">
    <cfRule type="dataBar" priority="5">
      <dataBar>
        <cfvo type="num" val="0"/>
        <cfvo type="num" val="1"/>
        <color rgb="FFB4A9D4"/>
      </dataBar>
      <extLst>
        <ext xmlns:x14="http://schemas.microsoft.com/office/spreadsheetml/2009/9/main" uri="{B025F937-C7B1-47D3-B67F-A62EFF666E3E}">
          <x14:id>{F581B581-A888-4018-B515-D94736C67099}</x14:id>
        </ext>
      </extLst>
    </cfRule>
  </conditionalFormatting>
  <conditionalFormatting sqref="I5:I35">
    <cfRule type="dataBar" priority="1">
      <dataBar>
        <cfvo type="num" val="0"/>
        <cfvo type="num" val="1"/>
        <color rgb="FFB4A9D4"/>
      </dataBar>
      <extLst>
        <ext xmlns:x14="http://schemas.microsoft.com/office/spreadsheetml/2009/9/main" uri="{B025F937-C7B1-47D3-B67F-A62EFF666E3E}">
          <x14:id>{8C4842CF-A7A4-4E55-A269-E280F230AA94}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581B581-A888-4018-B515-D94736C67099}">
            <x14:dataBar minLength="0" maxLength="100" gradient="0">
              <x14:cfvo type="num">
                <xm:f>0</xm:f>
              </x14:cfvo>
              <x14:cfvo type="num">
                <xm:f>1</xm:f>
              </x14:cfvo>
              <x14:negativeFillColor rgb="FFFF0000"/>
              <x14:axisColor rgb="FF000000"/>
            </x14:dataBar>
          </x14:cfRule>
          <xm:sqref>H5:H35</xm:sqref>
        </x14:conditionalFormatting>
        <x14:conditionalFormatting xmlns:xm="http://schemas.microsoft.com/office/excel/2006/main">
          <x14:cfRule type="dataBar" id="{8C4842CF-A7A4-4E55-A269-E280F230AA94}">
            <x14:dataBar minLength="0" maxLength="100" gradient="0">
              <x14:cfvo type="num">
                <xm:f>0</xm:f>
              </x14:cfvo>
              <x14:cfvo type="num">
                <xm:f>1</xm:f>
              </x14:cfvo>
              <x14:negativeFillColor rgb="FFFF0000"/>
              <x14:axisColor rgb="FF000000"/>
            </x14:dataBar>
          </x14:cfRule>
          <xm:sqref>I5:I35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5"/>
  <sheetViews>
    <sheetView zoomScale="75" zoomScaleNormal="75" workbookViewId="0"/>
  </sheetViews>
  <sheetFormatPr defaultColWidth="8.7265625" defaultRowHeight="14.5" x14ac:dyDescent="0.35"/>
  <cols>
    <col min="1" max="1" width="35.7265625" style="21" customWidth="1"/>
    <col min="2" max="10" width="14.26953125" style="21" customWidth="1"/>
    <col min="11" max="11" width="12.453125" style="21" customWidth="1"/>
    <col min="12" max="13" width="12.26953125" style="21" customWidth="1"/>
    <col min="14" max="16384" width="8.7265625" style="21"/>
  </cols>
  <sheetData>
    <row r="1" spans="1:12" ht="21.65" customHeight="1" x14ac:dyDescent="0.5">
      <c r="A1" s="29" t="s">
        <v>34</v>
      </c>
    </row>
    <row r="2" spans="1:12" ht="20.25" customHeight="1" x14ac:dyDescent="0.35">
      <c r="A2" s="36" t="s">
        <v>767</v>
      </c>
    </row>
    <row r="3" spans="1:12" ht="20.25" customHeight="1" x14ac:dyDescent="0.35">
      <c r="A3" s="25" t="s">
        <v>769</v>
      </c>
    </row>
    <row r="4" spans="1:12" ht="20.25" customHeight="1" x14ac:dyDescent="0.35">
      <c r="A4" s="42" t="s">
        <v>481</v>
      </c>
    </row>
    <row r="5" spans="1:12" s="22" customFormat="1" ht="16" customHeight="1" x14ac:dyDescent="0.35">
      <c r="A5" s="30" t="s">
        <v>56</v>
      </c>
      <c r="B5" s="196" t="s">
        <v>241</v>
      </c>
      <c r="C5" s="48"/>
      <c r="D5" s="28"/>
      <c r="E5" s="28"/>
      <c r="F5" s="28"/>
      <c r="G5" s="28"/>
      <c r="H5" s="28"/>
      <c r="I5" s="28"/>
      <c r="J5" s="28"/>
      <c r="K5" s="28"/>
      <c r="L5" s="28"/>
    </row>
    <row r="6" spans="1:12" ht="87.65" customHeight="1" x14ac:dyDescent="0.35">
      <c r="A6" s="37" t="s">
        <v>479</v>
      </c>
      <c r="B6" s="199" t="s">
        <v>749</v>
      </c>
      <c r="C6" s="38" t="s">
        <v>342</v>
      </c>
      <c r="D6" s="38" t="s">
        <v>65</v>
      </c>
      <c r="E6" s="38" t="s">
        <v>66</v>
      </c>
      <c r="F6" s="38" t="s">
        <v>67</v>
      </c>
      <c r="G6" s="38" t="s">
        <v>68</v>
      </c>
      <c r="H6" s="38" t="s">
        <v>343</v>
      </c>
      <c r="I6" s="38" t="s">
        <v>344</v>
      </c>
      <c r="J6" s="31" t="s">
        <v>345</v>
      </c>
      <c r="K6" s="26"/>
    </row>
    <row r="7" spans="1:12" s="22" customFormat="1" ht="16" customHeight="1" x14ac:dyDescent="0.35">
      <c r="A7" s="109" t="str">
        <f xml:space="preserve"> "Total " &amp;$B$5</f>
        <v>Total All time</v>
      </c>
      <c r="B7" s="129">
        <f>VLOOKUP($A7, 'Table 4 - Full data'!$A$2:$J$66,2,FALSE)</f>
        <v>276250</v>
      </c>
      <c r="C7" s="114">
        <f>VLOOKUP($A7, 'Table 4 - Full data'!$A$2:$J$66,3,FALSE)</f>
        <v>1</v>
      </c>
      <c r="D7" s="129">
        <f>VLOOKUP($A7, 'Table 4 - Full data'!$A$2:$J$66,4,FALSE)</f>
        <v>268375</v>
      </c>
      <c r="E7" s="129">
        <f>VLOOKUP($A7, 'Table 4 - Full data'!$A$2:$J$66,5,FALSE)</f>
        <v>179575</v>
      </c>
      <c r="F7" s="129">
        <f>VLOOKUP($A7, 'Table 4 - Full data'!$A$2:$J$66,6,FALSE)</f>
        <v>80835</v>
      </c>
      <c r="G7" s="129">
        <f>VLOOKUP($A7, 'Table 4 - Full data'!$A$2:$J$66,7,FALSE)</f>
        <v>7965</v>
      </c>
      <c r="H7" s="115">
        <f>VLOOKUP($A7, 'Table 4 - Full data'!$A$2:$J$66,8,FALSE)</f>
        <v>0.67</v>
      </c>
      <c r="I7" s="115">
        <f>VLOOKUP($A7, 'Table 4 - Full data'!$A$2:$J$66,9,FALSE)</f>
        <v>0.3</v>
      </c>
      <c r="J7" s="115">
        <f>VLOOKUP($A7, 'Table 4 - Full data'!$A$2:$J$66,10,FALSE)</f>
        <v>0.03</v>
      </c>
      <c r="K7" s="28"/>
    </row>
    <row r="8" spans="1:12" ht="16" customHeight="1" x14ac:dyDescent="0.35">
      <c r="A8" s="39" t="str">
        <f xml:space="preserve"> "Under 18 " &amp;$B$5</f>
        <v>Under 18 All time</v>
      </c>
      <c r="B8" s="134">
        <f>VLOOKUP($A8, 'Table 4 - Full data'!$A$2:$J$66,2,FALSE)</f>
        <v>1730</v>
      </c>
      <c r="C8" s="110">
        <f>VLOOKUP($A8, 'Table 4 - Full data'!$A$2:$J$66,3,FALSE)</f>
        <v>0.01</v>
      </c>
      <c r="D8" s="134">
        <f>VLOOKUP($A8, 'Table 4 - Full data'!$A$2:$J$66,4,FALSE)</f>
        <v>1660</v>
      </c>
      <c r="E8" s="134">
        <f>VLOOKUP($A8, 'Table 4 - Full data'!$A$2:$J$66,5,FALSE)</f>
        <v>1320</v>
      </c>
      <c r="F8" s="134">
        <f>VLOOKUP($A8, 'Table 4 - Full data'!$A$2:$J$66,6,FALSE)</f>
        <v>220</v>
      </c>
      <c r="G8" s="134">
        <f>VLOOKUP($A8, 'Table 4 - Full data'!$A$2:$J$66,7,FALSE)</f>
        <v>115</v>
      </c>
      <c r="H8" s="110">
        <f>VLOOKUP($A8, 'Table 4 - Full data'!$A$2:$J$66,8,FALSE)</f>
        <v>0.8</v>
      </c>
      <c r="I8" s="110">
        <f>VLOOKUP($A8, 'Table 4 - Full data'!$A$2:$J$66,9,FALSE)</f>
        <v>0.13</v>
      </c>
      <c r="J8" s="110">
        <f>VLOOKUP($A8, 'Table 4 - Full data'!$A$2:$J$66,10,FALSE)</f>
        <v>7.0000000000000007E-2</v>
      </c>
      <c r="K8" s="26"/>
    </row>
    <row r="9" spans="1:12" ht="16" customHeight="1" x14ac:dyDescent="0.35">
      <c r="A9" s="40" t="str">
        <f xml:space="preserve"> "18-24 " &amp;$B$5</f>
        <v>18-24 All time</v>
      </c>
      <c r="B9" s="134">
        <f>VLOOKUP($A9, 'Table 4 - Full data'!$A$2:$J$66,2,FALSE)</f>
        <v>56235</v>
      </c>
      <c r="C9" s="110">
        <f>VLOOKUP($A9, 'Table 4 - Full data'!$A$2:$J$66,3,FALSE)</f>
        <v>0.2</v>
      </c>
      <c r="D9" s="134">
        <f>VLOOKUP($A9, 'Table 4 - Full data'!$A$2:$J$66,4,FALSE)</f>
        <v>54505</v>
      </c>
      <c r="E9" s="134">
        <f>VLOOKUP($A9, 'Table 4 - Full data'!$A$2:$J$66,5,FALSE)</f>
        <v>37630</v>
      </c>
      <c r="F9" s="134">
        <f>VLOOKUP($A9, 'Table 4 - Full data'!$A$2:$J$66,6,FALSE)</f>
        <v>14815</v>
      </c>
      <c r="G9" s="134">
        <f>VLOOKUP($A9, 'Table 4 - Full data'!$A$2:$J$66,7,FALSE)</f>
        <v>2060</v>
      </c>
      <c r="H9" s="110">
        <f>VLOOKUP($A9, 'Table 4 - Full data'!$A$2:$J$66,8,FALSE)</f>
        <v>0.69</v>
      </c>
      <c r="I9" s="110">
        <f>VLOOKUP($A9, 'Table 4 - Full data'!$A$2:$J$66,9,FALSE)</f>
        <v>0.27</v>
      </c>
      <c r="J9" s="110">
        <f>VLOOKUP($A9, 'Table 4 - Full data'!$A$2:$J$66,10,FALSE)</f>
        <v>0.04</v>
      </c>
      <c r="K9" s="26"/>
    </row>
    <row r="10" spans="1:12" ht="16" customHeight="1" x14ac:dyDescent="0.35">
      <c r="A10" s="40" t="str">
        <f xml:space="preserve"> "25-29 " &amp;$B$5</f>
        <v>25-29 All time</v>
      </c>
      <c r="B10" s="134">
        <f>VLOOKUP($A10, 'Table 4 - Full data'!$A$2:$J$66,2,FALSE)</f>
        <v>78715</v>
      </c>
      <c r="C10" s="110">
        <f>VLOOKUP($A10, 'Table 4 - Full data'!$A$2:$J$66,3,FALSE)</f>
        <v>0.28000000000000003</v>
      </c>
      <c r="D10" s="134">
        <f>VLOOKUP($A10, 'Table 4 - Full data'!$A$2:$J$66,4,FALSE)</f>
        <v>76740</v>
      </c>
      <c r="E10" s="134">
        <f>VLOOKUP($A10, 'Table 4 - Full data'!$A$2:$J$66,5,FALSE)</f>
        <v>52000</v>
      </c>
      <c r="F10" s="134">
        <f>VLOOKUP($A10, 'Table 4 - Full data'!$A$2:$J$66,6,FALSE)</f>
        <v>22505</v>
      </c>
      <c r="G10" s="134">
        <f>VLOOKUP($A10, 'Table 4 - Full data'!$A$2:$J$66,7,FALSE)</f>
        <v>2235</v>
      </c>
      <c r="H10" s="110">
        <f>VLOOKUP($A10, 'Table 4 - Full data'!$A$2:$J$66,8,FALSE)</f>
        <v>0.68</v>
      </c>
      <c r="I10" s="110">
        <f>VLOOKUP($A10, 'Table 4 - Full data'!$A$2:$J$66,9,FALSE)</f>
        <v>0.28999999999999998</v>
      </c>
      <c r="J10" s="110">
        <f>VLOOKUP($A10, 'Table 4 - Full data'!$A$2:$J$66,10,FALSE)</f>
        <v>0.03</v>
      </c>
      <c r="K10" s="26"/>
    </row>
    <row r="11" spans="1:12" ht="16" customHeight="1" x14ac:dyDescent="0.35">
      <c r="A11" s="40" t="str">
        <f xml:space="preserve"> "30-34 " &amp;$B$5</f>
        <v>30-34 All time</v>
      </c>
      <c r="B11" s="134">
        <f>VLOOKUP($A11, 'Table 4 - Full data'!$A$2:$J$66,2,FALSE)</f>
        <v>71985</v>
      </c>
      <c r="C11" s="110">
        <f>VLOOKUP($A11, 'Table 4 - Full data'!$A$2:$J$66,3,FALSE)</f>
        <v>0.26</v>
      </c>
      <c r="D11" s="134">
        <f>VLOOKUP($A11, 'Table 4 - Full data'!$A$2:$J$66,4,FALSE)</f>
        <v>70050</v>
      </c>
      <c r="E11" s="134">
        <f>VLOOKUP($A11, 'Table 4 - Full data'!$A$2:$J$66,5,FALSE)</f>
        <v>46310</v>
      </c>
      <c r="F11" s="134">
        <f>VLOOKUP($A11, 'Table 4 - Full data'!$A$2:$J$66,6,FALSE)</f>
        <v>21980</v>
      </c>
      <c r="G11" s="134">
        <f>VLOOKUP($A11, 'Table 4 - Full data'!$A$2:$J$66,7,FALSE)</f>
        <v>1760</v>
      </c>
      <c r="H11" s="110">
        <f>VLOOKUP($A11, 'Table 4 - Full data'!$A$2:$J$66,8,FALSE)</f>
        <v>0.66</v>
      </c>
      <c r="I11" s="110">
        <f>VLOOKUP($A11, 'Table 4 - Full data'!$A$2:$J$66,9,FALSE)</f>
        <v>0.31</v>
      </c>
      <c r="J11" s="110">
        <f>VLOOKUP($A11, 'Table 4 - Full data'!$A$2:$J$66,10,FALSE)</f>
        <v>0.03</v>
      </c>
      <c r="K11" s="26"/>
    </row>
    <row r="12" spans="1:12" ht="16" customHeight="1" x14ac:dyDescent="0.35">
      <c r="A12" s="40" t="str">
        <f xml:space="preserve"> "35-39 " &amp;$B$5</f>
        <v>35-39 All time</v>
      </c>
      <c r="B12" s="134">
        <f>VLOOKUP($A12, 'Table 4 - Full data'!$A$2:$J$66,2,FALSE)</f>
        <v>43690</v>
      </c>
      <c r="C12" s="110">
        <f>VLOOKUP($A12, 'Table 4 - Full data'!$A$2:$J$66,3,FALSE)</f>
        <v>0.16</v>
      </c>
      <c r="D12" s="134">
        <f>VLOOKUP($A12, 'Table 4 - Full data'!$A$2:$J$66,4,FALSE)</f>
        <v>42470</v>
      </c>
      <c r="E12" s="134">
        <f>VLOOKUP($A12, 'Table 4 - Full data'!$A$2:$J$66,5,FALSE)</f>
        <v>27970</v>
      </c>
      <c r="F12" s="134">
        <f>VLOOKUP($A12, 'Table 4 - Full data'!$A$2:$J$66,6,FALSE)</f>
        <v>13560</v>
      </c>
      <c r="G12" s="134">
        <f>VLOOKUP($A12, 'Table 4 - Full data'!$A$2:$J$66,7,FALSE)</f>
        <v>940</v>
      </c>
      <c r="H12" s="110">
        <f>VLOOKUP($A12, 'Table 4 - Full data'!$A$2:$J$66,8,FALSE)</f>
        <v>0.66</v>
      </c>
      <c r="I12" s="110">
        <f>VLOOKUP($A12, 'Table 4 - Full data'!$A$2:$J$66,9,FALSE)</f>
        <v>0.32</v>
      </c>
      <c r="J12" s="110">
        <f>VLOOKUP($A12, 'Table 4 - Full data'!$A$2:$J$66,10,FALSE)</f>
        <v>0.02</v>
      </c>
      <c r="K12" s="26"/>
    </row>
    <row r="13" spans="1:12" ht="16.5" customHeight="1" x14ac:dyDescent="0.35">
      <c r="A13" s="61" t="str">
        <f xml:space="preserve"> "40-44 "&amp;$B$5</f>
        <v>40-44 All time</v>
      </c>
      <c r="B13" s="134">
        <f>VLOOKUP($A13, 'Table 4 - Full data'!$A$2:$J$66,2,FALSE)</f>
        <v>17140</v>
      </c>
      <c r="C13" s="110">
        <f>VLOOKUP($A13, 'Table 4 - Full data'!$A$2:$J$66,3,FALSE)</f>
        <v>0.06</v>
      </c>
      <c r="D13" s="134">
        <f>VLOOKUP($A13, 'Table 4 - Full data'!$A$2:$J$66,4,FALSE)</f>
        <v>16685</v>
      </c>
      <c r="E13" s="134">
        <f>VLOOKUP($A13, 'Table 4 - Full data'!$A$2:$J$66,5,FALSE)</f>
        <v>10760</v>
      </c>
      <c r="F13" s="134">
        <f>VLOOKUP($A13, 'Table 4 - Full data'!$A$2:$J$66,6,FALSE)</f>
        <v>5550</v>
      </c>
      <c r="G13" s="134">
        <f>VLOOKUP($A13, 'Table 4 - Full data'!$A$2:$J$66,7,FALSE)</f>
        <v>370</v>
      </c>
      <c r="H13" s="110">
        <f>VLOOKUP($A13, 'Table 4 - Full data'!$A$2:$J$66,8,FALSE)</f>
        <v>0.64</v>
      </c>
      <c r="I13" s="110">
        <f>VLOOKUP($A13, 'Table 4 - Full data'!$A$2:$J$66,9,FALSE)</f>
        <v>0.33</v>
      </c>
      <c r="J13" s="110">
        <f>VLOOKUP($A13, 'Table 4 - Full data'!$A$2:$J$66,10,FALSE)</f>
        <v>0.02</v>
      </c>
      <c r="K13" s="41"/>
    </row>
    <row r="14" spans="1:12" ht="15.5" x14ac:dyDescent="0.35">
      <c r="A14" s="61" t="str">
        <f xml:space="preserve"> "45-49 " &amp;$B$5</f>
        <v>45-49 All time</v>
      </c>
      <c r="B14" s="134">
        <f>VLOOKUP($A14, 'Table 4 - Full data'!$A$2:$J$66,2,FALSE)</f>
        <v>4135</v>
      </c>
      <c r="C14" s="110">
        <f>VLOOKUP($A14, 'Table 4 - Full data'!$A$2:$J$66,3,FALSE)</f>
        <v>0.01</v>
      </c>
      <c r="D14" s="134">
        <f>VLOOKUP($A14, 'Table 4 - Full data'!$A$2:$J$66,4,FALSE)</f>
        <v>4010</v>
      </c>
      <c r="E14" s="134">
        <f>VLOOKUP($A14, 'Table 4 - Full data'!$A$2:$J$66,5,FALSE)</f>
        <v>2480</v>
      </c>
      <c r="F14" s="134">
        <f>VLOOKUP($A14, 'Table 4 - Full data'!$A$2:$J$66,6,FALSE)</f>
        <v>1440</v>
      </c>
      <c r="G14" s="134">
        <f>VLOOKUP($A14, 'Table 4 - Full data'!$A$2:$J$66,7,FALSE)</f>
        <v>85</v>
      </c>
      <c r="H14" s="110">
        <f>VLOOKUP($A14, 'Table 4 - Full data'!$A$2:$J$66,8,FALSE)</f>
        <v>0.62</v>
      </c>
      <c r="I14" s="110">
        <f>VLOOKUP($A14, 'Table 4 - Full data'!$A$2:$J$66,9,FALSE)</f>
        <v>0.36</v>
      </c>
      <c r="J14" s="110">
        <f>VLOOKUP($A14, 'Table 4 - Full data'!$A$2:$J$66,10,FALSE)</f>
        <v>0.02</v>
      </c>
      <c r="K14" s="44"/>
      <c r="L14" s="10"/>
    </row>
    <row r="15" spans="1:12" ht="15.5" x14ac:dyDescent="0.35">
      <c r="A15" s="61" t="str">
        <f xml:space="preserve"> "50-54 " &amp;$B$5</f>
        <v>50-54 All time</v>
      </c>
      <c r="B15" s="134">
        <f>VLOOKUP($A15, 'Table 4 - Full data'!$A$2:$J$66,2,FALSE)</f>
        <v>1080</v>
      </c>
      <c r="C15" s="110">
        <f>VLOOKUP($A15, 'Table 4 - Full data'!$A$2:$J$66,3,FALSE)</f>
        <v>0</v>
      </c>
      <c r="D15" s="134">
        <f>VLOOKUP($A15, 'Table 4 - Full data'!$A$2:$J$66,4,FALSE)</f>
        <v>1050</v>
      </c>
      <c r="E15" s="134">
        <f>VLOOKUP($A15, 'Table 4 - Full data'!$A$2:$J$66,5,FALSE)</f>
        <v>630</v>
      </c>
      <c r="F15" s="134">
        <f>VLOOKUP($A15, 'Table 4 - Full data'!$A$2:$J$66,6,FALSE)</f>
        <v>380</v>
      </c>
      <c r="G15" s="134">
        <f>VLOOKUP($A15, 'Table 4 - Full data'!$A$2:$J$66,7,FALSE)</f>
        <v>40</v>
      </c>
      <c r="H15" s="110">
        <f>VLOOKUP($A15, 'Table 4 - Full data'!$A$2:$J$66,8,FALSE)</f>
        <v>0.6</v>
      </c>
      <c r="I15" s="110">
        <f>VLOOKUP($A15, 'Table 4 - Full data'!$A$2:$J$66,9,FALSE)</f>
        <v>0.36</v>
      </c>
      <c r="J15" s="110">
        <f>VLOOKUP($A15, 'Table 4 - Full data'!$A$2:$J$66,10,FALSE)</f>
        <v>0.04</v>
      </c>
      <c r="K15" s="43"/>
      <c r="L15" s="10"/>
    </row>
    <row r="16" spans="1:12" ht="15.5" x14ac:dyDescent="0.35">
      <c r="A16" s="61" t="str">
        <f xml:space="preserve"> "55-59 " &amp;$B$5</f>
        <v>55-59 All time</v>
      </c>
      <c r="B16" s="134">
        <f>VLOOKUP($A16, 'Table 4 - Full data'!$A$2:$J$66,2,FALSE)</f>
        <v>525</v>
      </c>
      <c r="C16" s="110">
        <f>VLOOKUP($A16, 'Table 4 - Full data'!$A$2:$J$66,3,FALSE)</f>
        <v>0</v>
      </c>
      <c r="D16" s="134">
        <f>VLOOKUP($A16, 'Table 4 - Full data'!$A$2:$J$66,4,FALSE)</f>
        <v>500</v>
      </c>
      <c r="E16" s="134">
        <f>VLOOKUP($A16, 'Table 4 - Full data'!$A$2:$J$66,5,FALSE)</f>
        <v>285</v>
      </c>
      <c r="F16" s="134">
        <f>VLOOKUP($A16, 'Table 4 - Full data'!$A$2:$J$66,6,FALSE)</f>
        <v>195</v>
      </c>
      <c r="G16" s="134">
        <f>VLOOKUP($A16, 'Table 4 - Full data'!$A$2:$J$66,7,FALSE)</f>
        <v>20</v>
      </c>
      <c r="H16" s="110">
        <f>VLOOKUP($A16, 'Table 4 - Full data'!$A$2:$J$66,8,FALSE)</f>
        <v>0.56999999999999995</v>
      </c>
      <c r="I16" s="110">
        <f>VLOOKUP($A16, 'Table 4 - Full data'!$A$2:$J$66,9,FALSE)</f>
        <v>0.39</v>
      </c>
      <c r="J16" s="110">
        <f>VLOOKUP($A16, 'Table 4 - Full data'!$A$2:$J$66,10,FALSE)</f>
        <v>0.04</v>
      </c>
      <c r="K16" s="44"/>
      <c r="L16" s="10"/>
    </row>
    <row r="17" spans="1:13" ht="16.5" customHeight="1" x14ac:dyDescent="0.35">
      <c r="A17" s="61" t="str">
        <f xml:space="preserve"> "60-64 " &amp;$B$5</f>
        <v>60-64 All time</v>
      </c>
      <c r="B17" s="134">
        <f>VLOOKUP($A17, 'Table 4 - Full data'!$A$2:$J$66,2,FALSE)</f>
        <v>240</v>
      </c>
      <c r="C17" s="110">
        <f>VLOOKUP($A17, 'Table 4 - Full data'!$A$2:$J$66,3,FALSE)</f>
        <v>0</v>
      </c>
      <c r="D17" s="134">
        <f>VLOOKUP($A17, 'Table 4 - Full data'!$A$2:$J$66,4,FALSE)</f>
        <v>225</v>
      </c>
      <c r="E17" s="134">
        <f>VLOOKUP($A17, 'Table 4 - Full data'!$A$2:$J$66,5,FALSE)</f>
        <v>135</v>
      </c>
      <c r="F17" s="134">
        <f>VLOOKUP($A17, 'Table 4 - Full data'!$A$2:$J$66,6,FALSE)</f>
        <v>80</v>
      </c>
      <c r="G17" s="134">
        <f>VLOOKUP($A17, 'Table 4 - Full data'!$A$2:$J$66,7,FALSE)</f>
        <v>10</v>
      </c>
      <c r="H17" s="110">
        <f>VLOOKUP($A17, 'Table 4 - Full data'!$A$2:$J$66,8,FALSE)</f>
        <v>0.6</v>
      </c>
      <c r="I17" s="110">
        <f>VLOOKUP($A17, 'Table 4 - Full data'!$A$2:$J$66,9,FALSE)</f>
        <v>0.36</v>
      </c>
      <c r="J17" s="110">
        <f>VLOOKUP($A17, 'Table 4 - Full data'!$A$2:$J$66,10,FALSE)</f>
        <v>0.04</v>
      </c>
      <c r="K17" s="43"/>
      <c r="L17" s="10"/>
    </row>
    <row r="18" spans="1:13" s="24" customFormat="1" ht="15.5" x14ac:dyDescent="0.35">
      <c r="A18" s="61" t="str">
        <f xml:space="preserve"> "65 and over " &amp;$B$5</f>
        <v>65 and over All time</v>
      </c>
      <c r="B18" s="134">
        <f>VLOOKUP($A18, 'Table 4 - Full data'!$A$2:$J$66,2,FALSE)</f>
        <v>120</v>
      </c>
      <c r="C18" s="110">
        <f>VLOOKUP($A18, 'Table 4 - Full data'!$A$2:$J$66,3,FALSE)</f>
        <v>0</v>
      </c>
      <c r="D18" s="134">
        <f>VLOOKUP($A18, 'Table 4 - Full data'!$A$2:$J$66,4,FALSE)</f>
        <v>115</v>
      </c>
      <c r="E18" s="134">
        <f>VLOOKUP($A18, 'Table 4 - Full data'!$A$2:$J$66,5,FALSE)</f>
        <v>55</v>
      </c>
      <c r="F18" s="134">
        <f>VLOOKUP($A18, 'Table 4 - Full data'!$A$2:$J$66,6,FALSE)</f>
        <v>55</v>
      </c>
      <c r="G18" s="134">
        <f>VLOOKUP($A18, 'Table 4 - Full data'!$A$2:$J$66,7,FALSE)</f>
        <v>5</v>
      </c>
      <c r="H18" s="110">
        <f>VLOOKUP($A18, 'Table 4 - Full data'!$A$2:$J$66,8,FALSE)</f>
        <v>0.48</v>
      </c>
      <c r="I18" s="110">
        <f>VLOOKUP($A18, 'Table 4 - Full data'!$A$2:$J$66,9,FALSE)</f>
        <v>0.48</v>
      </c>
      <c r="J18" s="110">
        <f>VLOOKUP($A18, 'Table 4 - Full data'!$A$2:$J$66,10,FALSE)</f>
        <v>0.04</v>
      </c>
      <c r="K18" s="44"/>
    </row>
    <row r="19" spans="1:13" s="24" customFormat="1" ht="15.5" x14ac:dyDescent="0.35">
      <c r="A19" s="40" t="str">
        <f xml:space="preserve"> "Unknown " &amp;$B$5</f>
        <v>Unknown All time</v>
      </c>
      <c r="B19" s="134">
        <f>VLOOKUP($A19, 'Table 4 - Full data'!$A$2:$J$66,2,FALSE)</f>
        <v>660</v>
      </c>
      <c r="C19" s="110">
        <f>VLOOKUP($A19, 'Table 4 - Full data'!$A$2:$J$66,3,FALSE)</f>
        <v>0</v>
      </c>
      <c r="D19" s="134">
        <f>VLOOKUP($A19, 'Table 4 - Full data'!$A$2:$J$66,4,FALSE)</f>
        <v>375</v>
      </c>
      <c r="E19" s="134">
        <f>VLOOKUP($A19, 'Table 4 - Full data'!$A$2:$J$66,5,FALSE)</f>
        <v>0</v>
      </c>
      <c r="F19" s="134">
        <f>VLOOKUP($A19, 'Table 4 - Full data'!$A$2:$J$66,6,FALSE)</f>
        <v>50</v>
      </c>
      <c r="G19" s="134">
        <f>VLOOKUP($A19, 'Table 4 - Full data'!$A$2:$J$66,7,FALSE)</f>
        <v>325</v>
      </c>
      <c r="H19" s="110">
        <f>VLOOKUP($A19, 'Table 4 - Full data'!$A$2:$J$66,8,FALSE)</f>
        <v>0</v>
      </c>
      <c r="I19" s="110">
        <f>VLOOKUP($A19, 'Table 4 - Full data'!$A$2:$J$66,9,FALSE)</f>
        <v>0.13</v>
      </c>
      <c r="J19" s="110">
        <f>VLOOKUP($A19, 'Table 4 - Full data'!$A$2:$J$66,10,FALSE)</f>
        <v>0.87</v>
      </c>
      <c r="K19" s="43"/>
    </row>
    <row r="20" spans="1:13" ht="19.5" customHeight="1" x14ac:dyDescent="0.35">
      <c r="A20" s="45" t="s">
        <v>9</v>
      </c>
      <c r="B20" s="45"/>
      <c r="C20" s="45"/>
      <c r="D20" s="45"/>
      <c r="E20" s="45"/>
      <c r="F20" s="45"/>
      <c r="G20" s="45"/>
      <c r="H20" s="45"/>
      <c r="I20" s="45"/>
      <c r="J20" s="45"/>
      <c r="K20" s="45"/>
      <c r="L20" s="45"/>
      <c r="M20" s="45"/>
    </row>
    <row r="21" spans="1:13" ht="15.5" x14ac:dyDescent="0.35">
      <c r="A21" s="63" t="s">
        <v>648</v>
      </c>
      <c r="B21" s="180"/>
      <c r="C21" s="180"/>
      <c r="D21" s="180"/>
      <c r="E21" s="180"/>
      <c r="F21" s="180"/>
      <c r="G21" s="180"/>
      <c r="H21" s="180"/>
      <c r="I21" s="180"/>
      <c r="J21" s="180"/>
      <c r="K21" s="180"/>
      <c r="L21" s="180"/>
      <c r="M21" s="180"/>
    </row>
    <row r="22" spans="1:13" ht="15.75" customHeight="1" x14ac:dyDescent="0.35">
      <c r="A22" s="45" t="s">
        <v>657</v>
      </c>
      <c r="B22" s="27"/>
      <c r="C22" s="27"/>
      <c r="D22" s="27"/>
      <c r="E22" s="27"/>
      <c r="F22" s="27"/>
      <c r="G22" s="27"/>
      <c r="H22" s="27"/>
      <c r="I22" s="27"/>
      <c r="J22" s="27"/>
      <c r="K22" s="27"/>
      <c r="L22" s="27"/>
      <c r="M22" s="27"/>
    </row>
    <row r="23" spans="1:13" ht="15.75" customHeight="1" x14ac:dyDescent="0.35">
      <c r="A23" s="45" t="s">
        <v>69</v>
      </c>
      <c r="B23" s="27"/>
      <c r="C23" s="27"/>
      <c r="D23" s="27"/>
      <c r="E23" s="27"/>
      <c r="F23" s="27"/>
      <c r="G23" s="27"/>
      <c r="H23" s="27"/>
      <c r="I23" s="27"/>
      <c r="J23" s="27"/>
      <c r="K23" s="27"/>
      <c r="L23" s="27"/>
      <c r="M23" s="27"/>
    </row>
    <row r="24" spans="1:13" ht="15.75" customHeight="1" x14ac:dyDescent="0.35">
      <c r="A24" s="45" t="s">
        <v>70</v>
      </c>
      <c r="B24" s="27"/>
      <c r="C24" s="27"/>
      <c r="D24" s="27"/>
      <c r="E24" s="27"/>
      <c r="F24" s="27"/>
      <c r="G24" s="27"/>
      <c r="H24" s="27"/>
      <c r="I24" s="27"/>
      <c r="J24" s="27"/>
      <c r="K24" s="27"/>
      <c r="L24" s="27"/>
      <c r="M24" s="27"/>
    </row>
    <row r="25" spans="1:13" ht="15.75" customHeight="1" x14ac:dyDescent="0.35">
      <c r="A25" s="45" t="s">
        <v>71</v>
      </c>
      <c r="B25" s="27"/>
      <c r="C25" s="27"/>
      <c r="D25" s="27"/>
      <c r="E25" s="27"/>
      <c r="F25" s="27"/>
      <c r="G25" s="27"/>
      <c r="H25" s="27"/>
      <c r="I25" s="27"/>
      <c r="J25" s="27"/>
      <c r="K25" s="27"/>
      <c r="L25" s="27"/>
      <c r="M25" s="27"/>
    </row>
    <row r="26" spans="1:13" ht="15.75" customHeight="1" x14ac:dyDescent="0.35">
      <c r="A26" s="45" t="s">
        <v>72</v>
      </c>
      <c r="B26" s="27"/>
      <c r="C26" s="27"/>
      <c r="D26" s="27"/>
      <c r="E26" s="27"/>
      <c r="F26" s="27"/>
      <c r="G26" s="27"/>
      <c r="H26" s="27"/>
      <c r="I26" s="27"/>
      <c r="J26" s="27"/>
      <c r="K26" s="27"/>
      <c r="L26" s="27"/>
      <c r="M26" s="27"/>
    </row>
    <row r="27" spans="1:13" ht="15.75" customHeight="1" x14ac:dyDescent="0.35">
      <c r="A27" s="45" t="s">
        <v>73</v>
      </c>
      <c r="B27" s="27"/>
      <c r="C27" s="27"/>
      <c r="D27" s="27"/>
      <c r="E27" s="27"/>
      <c r="F27" s="27"/>
      <c r="G27" s="27"/>
      <c r="H27" s="27"/>
      <c r="I27" s="27"/>
      <c r="J27" s="27"/>
      <c r="K27" s="27"/>
      <c r="L27" s="27"/>
      <c r="M27" s="27"/>
    </row>
    <row r="28" spans="1:13" ht="15.5" x14ac:dyDescent="0.35">
      <c r="A28" s="44"/>
      <c r="B28" s="43"/>
      <c r="C28" s="43"/>
      <c r="D28" s="43"/>
      <c r="E28" s="43"/>
      <c r="F28" s="43"/>
      <c r="G28" s="43"/>
      <c r="H28" s="43"/>
      <c r="I28" s="43"/>
      <c r="J28" s="43"/>
      <c r="K28" s="43"/>
      <c r="L28" s="45"/>
    </row>
    <row r="29" spans="1:13" ht="15.5" x14ac:dyDescent="0.35">
      <c r="A29" s="44"/>
      <c r="B29" s="43"/>
      <c r="C29" s="43"/>
      <c r="D29" s="43"/>
      <c r="E29" s="43"/>
      <c r="F29" s="43"/>
      <c r="G29" s="43"/>
      <c r="H29" s="43"/>
      <c r="I29" s="43"/>
      <c r="J29" s="43"/>
      <c r="K29" s="43"/>
    </row>
    <row r="30" spans="1:13" ht="15.5" x14ac:dyDescent="0.35">
      <c r="A30" s="44"/>
      <c r="B30" s="43"/>
      <c r="C30" s="43"/>
      <c r="D30" s="43"/>
      <c r="E30" s="43"/>
      <c r="F30" s="43"/>
      <c r="G30" s="43"/>
      <c r="H30" s="43"/>
      <c r="I30" s="43"/>
      <c r="J30" s="43"/>
      <c r="K30" s="43"/>
    </row>
    <row r="31" spans="1:13" ht="15.5" x14ac:dyDescent="0.35">
      <c r="A31" s="44"/>
      <c r="B31" s="43"/>
      <c r="C31" s="43"/>
      <c r="D31" s="43"/>
      <c r="E31" s="43"/>
      <c r="F31" s="43"/>
      <c r="G31" s="43"/>
      <c r="H31" s="43"/>
      <c r="I31" s="43"/>
      <c r="J31" s="43"/>
      <c r="K31" s="43"/>
    </row>
    <row r="32" spans="1:13" ht="15.5" x14ac:dyDescent="0.35">
      <c r="A32" s="44"/>
      <c r="B32" s="44"/>
      <c r="C32" s="44"/>
      <c r="D32" s="44"/>
      <c r="E32" s="44"/>
      <c r="F32" s="44"/>
      <c r="G32" s="44"/>
      <c r="H32" s="44"/>
      <c r="I32" s="44"/>
      <c r="J32" s="44"/>
      <c r="K32" s="44"/>
    </row>
    <row r="33" spans="1:11" ht="15.5" x14ac:dyDescent="0.35">
      <c r="A33" s="44"/>
      <c r="B33" s="44"/>
      <c r="C33" s="44"/>
      <c r="D33" s="44"/>
      <c r="E33" s="44"/>
      <c r="F33" s="44"/>
      <c r="G33" s="44"/>
      <c r="H33" s="44"/>
      <c r="I33" s="44"/>
      <c r="J33" s="44"/>
      <c r="K33" s="44"/>
    </row>
    <row r="34" spans="1:11" ht="15.5" x14ac:dyDescent="0.35">
      <c r="A34" s="45"/>
      <c r="B34" s="45"/>
      <c r="C34" s="45"/>
      <c r="D34" s="45"/>
      <c r="E34" s="45"/>
      <c r="F34" s="45"/>
      <c r="G34" s="45"/>
      <c r="H34" s="45"/>
      <c r="I34" s="45"/>
      <c r="J34" s="45"/>
      <c r="K34" s="45"/>
    </row>
    <row r="35" spans="1:11" ht="15.5" x14ac:dyDescent="0.35">
      <c r="A35" s="45"/>
      <c r="B35" s="45"/>
      <c r="C35" s="45"/>
      <c r="D35" s="45"/>
      <c r="E35" s="45"/>
      <c r="F35" s="45"/>
      <c r="G35" s="45"/>
      <c r="H35" s="45"/>
      <c r="I35" s="45"/>
      <c r="J35" s="45"/>
      <c r="K35" s="45"/>
    </row>
    <row r="38" spans="1:11" ht="15.5" x14ac:dyDescent="0.35">
      <c r="A38" s="43"/>
    </row>
    <row r="42" spans="1:11" ht="15.5" x14ac:dyDescent="0.35">
      <c r="A42" s="44"/>
    </row>
    <row r="43" spans="1:11" ht="15.5" x14ac:dyDescent="0.35">
      <c r="A43" s="43"/>
    </row>
    <row r="44" spans="1:11" ht="15.5" x14ac:dyDescent="0.35">
      <c r="A44" s="44"/>
    </row>
    <row r="45" spans="1:11" ht="15.5" x14ac:dyDescent="0.35">
      <c r="A45" s="43"/>
    </row>
    <row r="46" spans="1:11" ht="15.5" x14ac:dyDescent="0.35">
      <c r="A46" s="44"/>
    </row>
    <row r="47" spans="1:11" ht="15.5" x14ac:dyDescent="0.35">
      <c r="A47" s="43"/>
    </row>
    <row r="48" spans="1:11" ht="15.5" x14ac:dyDescent="0.35">
      <c r="A48" s="43"/>
    </row>
    <row r="49" spans="1:1" ht="15.5" x14ac:dyDescent="0.35">
      <c r="A49" s="43"/>
    </row>
    <row r="50" spans="1:1" ht="15.5" x14ac:dyDescent="0.35">
      <c r="A50" s="43"/>
    </row>
    <row r="51" spans="1:1" ht="15.5" x14ac:dyDescent="0.35">
      <c r="A51" s="43"/>
    </row>
    <row r="52" spans="1:1" ht="15.5" x14ac:dyDescent="0.35">
      <c r="A52" s="44"/>
    </row>
    <row r="53" spans="1:1" ht="15.5" x14ac:dyDescent="0.35">
      <c r="A53" s="44"/>
    </row>
    <row r="54" spans="1:1" ht="15.5" x14ac:dyDescent="0.35">
      <c r="A54" s="45"/>
    </row>
    <row r="55" spans="1:1" ht="15.5" x14ac:dyDescent="0.35">
      <c r="A55" s="45"/>
    </row>
  </sheetData>
  <conditionalFormatting sqref="L14:L15">
    <cfRule type="dataBar" priority="7">
      <dataBar>
        <cfvo type="min"/>
        <cfvo type="max"/>
        <color rgb="FF638EC6"/>
      </dataBar>
      <extLst>
        <ext xmlns:x14="http://schemas.microsoft.com/office/spreadsheetml/2009/9/main" uri="{B025F937-C7B1-47D3-B67F-A62EFF666E3E}">
          <x14:id>{0CFFCF59-4A1B-4394-B81D-7BB4BFC1FF85}</x14:id>
        </ext>
      </extLst>
    </cfRule>
  </conditionalFormatting>
  <conditionalFormatting sqref="L16:L17">
    <cfRule type="dataBar" priority="8">
      <dataBar>
        <cfvo type="min"/>
        <cfvo type="max"/>
        <color rgb="FF638EC6"/>
      </dataBar>
      <extLst>
        <ext xmlns:x14="http://schemas.microsoft.com/office/spreadsheetml/2009/9/main" uri="{B025F937-C7B1-47D3-B67F-A62EFF666E3E}">
          <x14:id>{6FCC1F9A-A40F-4CAD-9558-28AFC6F04AE0}</x14:id>
        </ext>
      </extLst>
    </cfRule>
  </conditionalFormatting>
  <conditionalFormatting sqref="C7:C19">
    <cfRule type="dataBar" priority="2">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H7:J19">
    <cfRule type="dataBar" priority="1">
      <dataBar>
        <cfvo type="num" val="0"/>
        <cfvo type="num" val="1"/>
        <color rgb="FFB4A9D4"/>
      </dataBar>
      <extLst>
        <ext xmlns:x14="http://schemas.microsoft.com/office/spreadsheetml/2009/9/main" uri="{B025F937-C7B1-47D3-B67F-A62EFF666E3E}">
          <x14:id>{56051A23-8971-433D-B91D-4780B9AE1858}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FFCF59-4A1B-4394-B81D-7BB4BFC1FF85}">
            <x14:dataBar minLength="0" maxLength="100" border="1" negativeBarBorderColorSameAsPositive="0">
              <x14:cfvo type="autoMin"/>
              <x14:cfvo type="autoMax"/>
              <x14:borderColor rgb="FF638EC6"/>
              <x14:negativeFillColor rgb="FFFF0000"/>
              <x14:negativeBorderColor rgb="FFFF0000"/>
              <x14:axisColor rgb="FF000000"/>
            </x14:dataBar>
          </x14:cfRule>
          <xm:sqref>L14:L15</xm:sqref>
        </x14:conditionalFormatting>
        <x14:conditionalFormatting xmlns:xm="http://schemas.microsoft.com/office/excel/2006/main">
          <x14:cfRule type="dataBar" id="{6FCC1F9A-A40F-4CAD-9558-28AFC6F04AE0}">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C7:C19</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H7:J19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3"/>
  <sheetViews>
    <sheetView zoomScale="75" zoomScaleNormal="75" workbookViewId="0"/>
  </sheetViews>
  <sheetFormatPr defaultColWidth="8.7265625" defaultRowHeight="14.5" x14ac:dyDescent="0.35"/>
  <cols>
    <col min="1" max="1" width="40.54296875" style="21" customWidth="1"/>
    <col min="2" max="10" width="12.54296875" style="21" customWidth="1"/>
    <col min="11" max="11" width="13.453125" style="21" customWidth="1"/>
    <col min="12" max="12" width="9.54296875" style="21" bestFit="1" customWidth="1"/>
    <col min="13" max="16384" width="8.7265625" style="21"/>
  </cols>
  <sheetData>
    <row r="1" spans="1:35" ht="21" x14ac:dyDescent="0.5">
      <c r="A1" s="20" t="s">
        <v>35</v>
      </c>
      <c r="B1" s="20"/>
      <c r="C1" s="20"/>
      <c r="D1" s="20"/>
      <c r="E1" s="20"/>
      <c r="F1" s="20"/>
      <c r="G1" s="20"/>
      <c r="H1" s="22"/>
      <c r="I1" s="22"/>
      <c r="J1" s="22"/>
      <c r="K1" s="22"/>
    </row>
    <row r="2" spans="1:35" ht="21" x14ac:dyDescent="0.5">
      <c r="A2" s="36" t="s">
        <v>767</v>
      </c>
      <c r="B2" s="19"/>
      <c r="C2" s="19"/>
      <c r="D2" s="19"/>
      <c r="E2" s="19"/>
      <c r="F2" s="19"/>
      <c r="G2" s="19"/>
      <c r="H2" s="22"/>
      <c r="I2" s="22"/>
      <c r="J2" s="22"/>
      <c r="K2" s="22"/>
    </row>
    <row r="3" spans="1:35" ht="21" x14ac:dyDescent="0.5">
      <c r="A3" s="25" t="s">
        <v>770</v>
      </c>
      <c r="B3" s="19"/>
      <c r="C3" s="19"/>
      <c r="D3" s="19"/>
      <c r="E3" s="19"/>
      <c r="F3" s="19"/>
      <c r="G3" s="19"/>
      <c r="H3" s="22"/>
      <c r="I3" s="22"/>
      <c r="J3" s="22"/>
      <c r="K3" s="22"/>
    </row>
    <row r="4" spans="1:35" ht="15.5" x14ac:dyDescent="0.35">
      <c r="A4" s="25" t="s">
        <v>482</v>
      </c>
      <c r="B4" s="62"/>
      <c r="C4" s="62"/>
      <c r="D4" s="62"/>
      <c r="E4" s="62"/>
      <c r="F4" s="62"/>
      <c r="G4" s="62"/>
      <c r="H4" s="28"/>
      <c r="I4" s="28"/>
      <c r="J4" s="28"/>
      <c r="K4" s="28"/>
      <c r="W4" s="23"/>
      <c r="X4" s="23"/>
      <c r="Y4" s="23"/>
      <c r="Z4" s="23"/>
      <c r="AA4" s="23"/>
      <c r="AB4" s="23"/>
      <c r="AC4" s="23"/>
      <c r="AD4" s="23"/>
      <c r="AE4" s="23"/>
      <c r="AF4" s="23"/>
      <c r="AG4" s="23"/>
      <c r="AH4" s="23"/>
      <c r="AI4" s="23"/>
    </row>
    <row r="5" spans="1:35" ht="31" x14ac:dyDescent="0.35">
      <c r="A5" s="195" t="s">
        <v>750</v>
      </c>
      <c r="B5" s="197" t="s">
        <v>241</v>
      </c>
      <c r="C5" s="60"/>
      <c r="D5" s="26"/>
      <c r="E5" s="26"/>
      <c r="F5" s="26"/>
      <c r="G5" s="26"/>
      <c r="H5" s="26"/>
      <c r="I5" s="26"/>
      <c r="J5" s="26"/>
      <c r="K5" s="26"/>
      <c r="L5" s="26"/>
      <c r="M5" s="26"/>
      <c r="N5" s="26"/>
      <c r="O5" s="26"/>
      <c r="P5" s="26"/>
      <c r="Q5" s="26"/>
      <c r="Y5" s="255"/>
      <c r="Z5" s="255"/>
      <c r="AA5" s="255"/>
      <c r="AB5" s="255"/>
      <c r="AC5" s="255"/>
      <c r="AD5" s="255"/>
      <c r="AE5" s="255"/>
      <c r="AF5" s="255"/>
      <c r="AG5" s="255"/>
      <c r="AH5" s="23"/>
      <c r="AI5" s="23"/>
    </row>
    <row r="6" spans="1:35" ht="62" x14ac:dyDescent="0.35">
      <c r="A6" s="67" t="s">
        <v>659</v>
      </c>
      <c r="B6" s="31" t="s">
        <v>667</v>
      </c>
      <c r="C6" s="31" t="s">
        <v>342</v>
      </c>
      <c r="D6" s="31" t="s">
        <v>65</v>
      </c>
      <c r="E6" s="31" t="s">
        <v>668</v>
      </c>
      <c r="F6" s="31" t="s">
        <v>669</v>
      </c>
      <c r="G6" s="31" t="s">
        <v>670</v>
      </c>
      <c r="H6" s="31" t="s">
        <v>343</v>
      </c>
      <c r="I6" s="31" t="s">
        <v>344</v>
      </c>
      <c r="J6" s="31" t="s">
        <v>345</v>
      </c>
      <c r="K6" s="26"/>
      <c r="L6" s="32"/>
      <c r="M6" s="26"/>
      <c r="N6" s="26"/>
      <c r="O6" s="26"/>
      <c r="P6" s="26"/>
      <c r="Q6" s="26"/>
      <c r="Y6" s="49"/>
      <c r="Z6" s="49"/>
      <c r="AA6" s="49"/>
      <c r="AB6" s="49"/>
      <c r="AC6" s="49"/>
      <c r="AD6" s="49"/>
      <c r="AE6" s="18"/>
      <c r="AF6" s="18"/>
      <c r="AG6" s="18"/>
      <c r="AH6" s="23"/>
      <c r="AI6" s="23"/>
    </row>
    <row r="7" spans="1:35" s="22" customFormat="1" ht="15.5" x14ac:dyDescent="0.35">
      <c r="A7" s="155" t="str">
        <f xml:space="preserve"> "Total " &amp;$B$5</f>
        <v>Total All time</v>
      </c>
      <c r="B7" s="187">
        <f>VLOOKUP($A7,'Table 5 - Full data'!$A$2:$J$1181,2,FALSE)</f>
        <v>276250</v>
      </c>
      <c r="C7" s="132">
        <f>VLOOKUP($A7,'Table 5 - Full data'!$A$2:$J$181,3,FALSE)</f>
        <v>1</v>
      </c>
      <c r="D7" s="188">
        <f>VLOOKUP($A7,'Table 5 - Full data'!$A$2:$J$181,4,FALSE)</f>
        <v>268375</v>
      </c>
      <c r="E7" s="188">
        <f>VLOOKUP($A7,'Table 5 - Full data'!$A$2:$J$181,5,FALSE)</f>
        <v>179575</v>
      </c>
      <c r="F7" s="188">
        <f>VLOOKUP($A7,'Table 5 - Full data'!$A$2:$J$181,6,FALSE)</f>
        <v>80835</v>
      </c>
      <c r="G7" s="188">
        <f>VLOOKUP($A7,'Table 5 - Full data'!$A$2:$J$181,7,FALSE)</f>
        <v>7965</v>
      </c>
      <c r="H7" s="132">
        <f>VLOOKUP($A7,'Table 5 - Full data'!$A$2:$J$181,8,FALSE)</f>
        <v>0.67</v>
      </c>
      <c r="I7" s="132">
        <f>VLOOKUP($A7,'Table 5 - Full data'!$A$2:$J$181,9,FALSE)</f>
        <v>0.3</v>
      </c>
      <c r="J7" s="132">
        <f>VLOOKUP($A7,'Table 5 - Full data'!$A$2:$J$181,10,FALSE)</f>
        <v>0.03</v>
      </c>
      <c r="K7" s="28"/>
      <c r="L7" s="32"/>
      <c r="M7" s="28"/>
      <c r="N7" s="28"/>
      <c r="O7" s="28"/>
      <c r="P7" s="28"/>
      <c r="Q7" s="28"/>
      <c r="Y7" s="105"/>
      <c r="Z7" s="105"/>
      <c r="AA7" s="105"/>
      <c r="AB7" s="105"/>
      <c r="AC7" s="105"/>
      <c r="AD7" s="105"/>
      <c r="AE7" s="18"/>
      <c r="AF7" s="18"/>
      <c r="AG7" s="18"/>
      <c r="AH7" s="116"/>
      <c r="AI7" s="116"/>
    </row>
    <row r="8" spans="1:35" ht="15.5" x14ac:dyDescent="0.35">
      <c r="A8" s="40" t="str">
        <f xml:space="preserve"> "Aberdeen City " &amp;$B$5</f>
        <v>Aberdeen City All time</v>
      </c>
      <c r="B8" s="136">
        <f>VLOOKUP($A8,'Table 5 - Full data'!$A$2:$J$1181,2,FALSE)</f>
        <v>8400</v>
      </c>
      <c r="C8" s="110">
        <f>VLOOKUP($A8,'Table 5 - Full data'!$A$2:$J$181,3,FALSE)</f>
        <v>0.03</v>
      </c>
      <c r="D8" s="134">
        <f>VLOOKUP($A8,'Table 5 - Full data'!$A$2:$J$181,4,FALSE)</f>
        <v>8105</v>
      </c>
      <c r="E8" s="134">
        <f>VLOOKUP($A8,'Table 5 - Full data'!$A$2:$J$181,5,FALSE)</f>
        <v>5585</v>
      </c>
      <c r="F8" s="134">
        <f>VLOOKUP($A8,'Table 5 - Full data'!$A$2:$J$181,6,FALSE)</f>
        <v>2280</v>
      </c>
      <c r="G8" s="134">
        <f>VLOOKUP($A8,'Table 5 - Full data'!$A$2:$J$181,7,FALSE)</f>
        <v>240</v>
      </c>
      <c r="H8" s="110">
        <f>VLOOKUP($A8,'Table 5 - Full data'!$A$2:$J$181,8,FALSE)</f>
        <v>0.69</v>
      </c>
      <c r="I8" s="110">
        <f>VLOOKUP($A8,'Table 5 - Full data'!$A$2:$J$181,9,FALSE)</f>
        <v>0.28000000000000003</v>
      </c>
      <c r="J8" s="110">
        <f>VLOOKUP($A8,'Table 5 - Full data'!$A$2:$J$181,10,FALSE)</f>
        <v>0.03</v>
      </c>
      <c r="K8" s="26"/>
      <c r="L8" s="35"/>
      <c r="M8" s="26"/>
      <c r="N8" s="26"/>
      <c r="O8" s="26"/>
      <c r="P8" s="26"/>
      <c r="Q8" s="26"/>
      <c r="Y8" s="15"/>
      <c r="Z8" s="16"/>
      <c r="AA8" s="15"/>
      <c r="AB8" s="15"/>
      <c r="AC8" s="15"/>
      <c r="AD8" s="15"/>
      <c r="AE8" s="16"/>
      <c r="AF8" s="16"/>
      <c r="AG8" s="16"/>
      <c r="AH8" s="23"/>
      <c r="AI8" s="23"/>
    </row>
    <row r="9" spans="1:35" ht="15.5" x14ac:dyDescent="0.35">
      <c r="A9" s="40" t="str">
        <f xml:space="preserve"> "Aberdeenshire " &amp;$B$5</f>
        <v>Aberdeenshire All time</v>
      </c>
      <c r="B9" s="136">
        <f>VLOOKUP($A9,'Table 5 - Full data'!$A$2:$J$1181,2,FALSE)</f>
        <v>6810</v>
      </c>
      <c r="C9" s="110">
        <f>VLOOKUP($A9,'Table 5 - Full data'!$A$2:$J$181,3,FALSE)</f>
        <v>0.02</v>
      </c>
      <c r="D9" s="134">
        <f>VLOOKUP($A9,'Table 5 - Full data'!$A$2:$J$181,4,FALSE)</f>
        <v>6575</v>
      </c>
      <c r="E9" s="134">
        <f>VLOOKUP($A9,'Table 5 - Full data'!$A$2:$J$181,5,FALSE)</f>
        <v>4405</v>
      </c>
      <c r="F9" s="134">
        <f>VLOOKUP($A9,'Table 5 - Full data'!$A$2:$J$181,6,FALSE)</f>
        <v>2005</v>
      </c>
      <c r="G9" s="134">
        <f>VLOOKUP($A9,'Table 5 - Full data'!$A$2:$J$181,7,FALSE)</f>
        <v>170</v>
      </c>
      <c r="H9" s="110">
        <f>VLOOKUP($A9,'Table 5 - Full data'!$A$2:$J$181,8,FALSE)</f>
        <v>0.67</v>
      </c>
      <c r="I9" s="110">
        <f>VLOOKUP($A9,'Table 5 - Full data'!$A$2:$J$181,9,FALSE)</f>
        <v>0.3</v>
      </c>
      <c r="J9" s="110">
        <f>VLOOKUP($A9,'Table 5 - Full data'!$A$2:$J$181,10,FALSE)</f>
        <v>0.03</v>
      </c>
      <c r="K9" s="26"/>
      <c r="L9" s="35"/>
      <c r="M9" s="36"/>
      <c r="N9" s="26"/>
      <c r="O9" s="26"/>
      <c r="P9" s="26"/>
      <c r="Q9" s="26"/>
      <c r="Y9" s="5"/>
      <c r="Z9" s="6"/>
      <c r="AA9" s="15"/>
      <c r="AB9" s="2"/>
      <c r="AC9" s="2"/>
      <c r="AD9" s="51"/>
      <c r="AE9" s="6"/>
      <c r="AF9" s="6"/>
      <c r="AG9" s="6"/>
      <c r="AH9" s="23"/>
      <c r="AI9" s="23"/>
    </row>
    <row r="10" spans="1:35" ht="15.5" x14ac:dyDescent="0.35">
      <c r="A10" s="40" t="str">
        <f xml:space="preserve"> "Angus " &amp;$B$5</f>
        <v>Angus All time</v>
      </c>
      <c r="B10" s="136">
        <f>VLOOKUP($A10,'Table 5 - Full data'!$A$2:$J$1181,2,FALSE)</f>
        <v>5130</v>
      </c>
      <c r="C10" s="110">
        <f>VLOOKUP($A10,'Table 5 - Full data'!$A$2:$J$181,3,FALSE)</f>
        <v>0.02</v>
      </c>
      <c r="D10" s="134">
        <f>VLOOKUP($A10,'Table 5 - Full data'!$A$2:$J$181,4,FALSE)</f>
        <v>4985</v>
      </c>
      <c r="E10" s="134">
        <f>VLOOKUP($A10,'Table 5 - Full data'!$A$2:$J$181,5,FALSE)</f>
        <v>3535</v>
      </c>
      <c r="F10" s="134">
        <f>VLOOKUP($A10,'Table 5 - Full data'!$A$2:$J$181,6,FALSE)</f>
        <v>1320</v>
      </c>
      <c r="G10" s="134">
        <f>VLOOKUP($A10,'Table 5 - Full data'!$A$2:$J$181,7,FALSE)</f>
        <v>135</v>
      </c>
      <c r="H10" s="110">
        <f>VLOOKUP($A10,'Table 5 - Full data'!$A$2:$J$181,8,FALSE)</f>
        <v>0.71</v>
      </c>
      <c r="I10" s="110">
        <f>VLOOKUP($A10,'Table 5 - Full data'!$A$2:$J$181,9,FALSE)</f>
        <v>0.26</v>
      </c>
      <c r="J10" s="110">
        <f>VLOOKUP($A10,'Table 5 - Full data'!$A$2:$J$181,10,FALSE)</f>
        <v>0.03</v>
      </c>
      <c r="K10" s="26"/>
      <c r="L10" s="35"/>
      <c r="M10" s="36"/>
      <c r="N10" s="26"/>
      <c r="O10" s="26"/>
      <c r="P10" s="26"/>
      <c r="Q10" s="26"/>
      <c r="Y10" s="5"/>
      <c r="Z10" s="6"/>
      <c r="AA10" s="15"/>
      <c r="AB10" s="2"/>
      <c r="AC10" s="2"/>
      <c r="AD10" s="51"/>
      <c r="AE10" s="6"/>
      <c r="AF10" s="6"/>
      <c r="AG10" s="6"/>
      <c r="AH10" s="23"/>
      <c r="AI10" s="23"/>
    </row>
    <row r="11" spans="1:35" ht="15.5" x14ac:dyDescent="0.35">
      <c r="A11" s="40" t="str">
        <f xml:space="preserve"> "Argyll &amp; Bute " &amp;$B$5</f>
        <v>Argyll &amp; Bute All time</v>
      </c>
      <c r="B11" s="136">
        <f>VLOOKUP($A11,'Table 5 - Full data'!$A$2:$J$1181,2,FALSE)</f>
        <v>3050</v>
      </c>
      <c r="C11" s="110">
        <f>VLOOKUP($A11,'Table 5 - Full data'!$A$2:$J$181,3,FALSE)</f>
        <v>0.01</v>
      </c>
      <c r="D11" s="134">
        <f>VLOOKUP($A11,'Table 5 - Full data'!$A$2:$J$181,4,FALSE)</f>
        <v>2970</v>
      </c>
      <c r="E11" s="134">
        <f>VLOOKUP($A11,'Table 5 - Full data'!$A$2:$J$181,5,FALSE)</f>
        <v>2050</v>
      </c>
      <c r="F11" s="134">
        <f>VLOOKUP($A11,'Table 5 - Full data'!$A$2:$J$181,6,FALSE)</f>
        <v>835</v>
      </c>
      <c r="G11" s="134">
        <f>VLOOKUP($A11,'Table 5 - Full data'!$A$2:$J$181,7,FALSE)</f>
        <v>85</v>
      </c>
      <c r="H11" s="110">
        <f>VLOOKUP($A11,'Table 5 - Full data'!$A$2:$J$181,8,FALSE)</f>
        <v>0.69</v>
      </c>
      <c r="I11" s="110">
        <f>VLOOKUP($A11,'Table 5 - Full data'!$A$2:$J$181,9,FALSE)</f>
        <v>0.28000000000000003</v>
      </c>
      <c r="J11" s="110">
        <f>VLOOKUP($A11,'Table 5 - Full data'!$A$2:$J$181,10,FALSE)</f>
        <v>0.03</v>
      </c>
      <c r="K11" s="26"/>
      <c r="L11" s="35"/>
      <c r="M11" s="36"/>
      <c r="N11" s="26"/>
      <c r="O11" s="26"/>
      <c r="P11" s="26"/>
      <c r="Q11" s="26"/>
      <c r="Y11" s="5"/>
      <c r="Z11" s="6"/>
      <c r="AA11" s="15"/>
      <c r="AB11" s="2"/>
      <c r="AC11" s="2"/>
      <c r="AD11" s="51"/>
      <c r="AE11" s="6"/>
      <c r="AF11" s="6"/>
      <c r="AG11" s="6"/>
      <c r="AH11" s="23"/>
      <c r="AI11" s="23"/>
    </row>
    <row r="12" spans="1:35" ht="15.5" x14ac:dyDescent="0.35">
      <c r="A12" s="40" t="str">
        <f xml:space="preserve"> "Clackmannanshire " &amp;$B$5</f>
        <v>Clackmannanshire All time</v>
      </c>
      <c r="B12" s="136">
        <f>VLOOKUP($A12,'Table 5 - Full data'!$A$2:$J$1181,2,FALSE)</f>
        <v>2980</v>
      </c>
      <c r="C12" s="110">
        <f>VLOOKUP($A12,'Table 5 - Full data'!$A$2:$J$181,3,FALSE)</f>
        <v>0.01</v>
      </c>
      <c r="D12" s="134">
        <f>VLOOKUP($A12,'Table 5 - Full data'!$A$2:$J$181,4,FALSE)</f>
        <v>2910</v>
      </c>
      <c r="E12" s="134">
        <f>VLOOKUP($A12,'Table 5 - Full data'!$A$2:$J$181,5,FALSE)</f>
        <v>2060</v>
      </c>
      <c r="F12" s="134">
        <f>VLOOKUP($A12,'Table 5 - Full data'!$A$2:$J$181,6,FALSE)</f>
        <v>750</v>
      </c>
      <c r="G12" s="134">
        <f>VLOOKUP($A12,'Table 5 - Full data'!$A$2:$J$181,7,FALSE)</f>
        <v>95</v>
      </c>
      <c r="H12" s="110">
        <f>VLOOKUP($A12,'Table 5 - Full data'!$A$2:$J$181,8,FALSE)</f>
        <v>0.71</v>
      </c>
      <c r="I12" s="110">
        <f>VLOOKUP($A12,'Table 5 - Full data'!$A$2:$J$181,9,FALSE)</f>
        <v>0.26</v>
      </c>
      <c r="J12" s="110">
        <f>VLOOKUP($A12,'Table 5 - Full data'!$A$2:$J$181,10,FALSE)</f>
        <v>0.03</v>
      </c>
      <c r="K12" s="26"/>
      <c r="L12" s="35"/>
      <c r="M12" s="36"/>
      <c r="N12" s="26"/>
      <c r="O12" s="26"/>
      <c r="P12" s="26"/>
      <c r="Q12" s="26"/>
      <c r="Y12" s="5"/>
      <c r="Z12" s="6"/>
      <c r="AA12" s="15"/>
      <c r="AB12" s="2"/>
      <c r="AC12" s="2"/>
      <c r="AD12" s="51"/>
      <c r="AE12" s="6"/>
      <c r="AF12" s="6"/>
      <c r="AG12" s="6"/>
      <c r="AH12" s="23"/>
      <c r="AI12" s="23"/>
    </row>
    <row r="13" spans="1:35" ht="15.5" x14ac:dyDescent="0.35">
      <c r="A13" s="40" t="str">
        <f xml:space="preserve"> "Dumfries &amp; Galloway " &amp;$B$5</f>
        <v>Dumfries &amp; Galloway All time</v>
      </c>
      <c r="B13" s="136">
        <f>VLOOKUP($A13,'Table 5 - Full data'!$A$2:$J$1181,2,FALSE)</f>
        <v>7085</v>
      </c>
      <c r="C13" s="110">
        <f>VLOOKUP($A13,'Table 5 - Full data'!$A$2:$J$181,3,FALSE)</f>
        <v>0.03</v>
      </c>
      <c r="D13" s="134">
        <f>VLOOKUP($A13,'Table 5 - Full data'!$A$2:$J$181,4,FALSE)</f>
        <v>6915</v>
      </c>
      <c r="E13" s="134">
        <f>VLOOKUP($A13,'Table 5 - Full data'!$A$2:$J$181,5,FALSE)</f>
        <v>4920</v>
      </c>
      <c r="F13" s="134">
        <f>VLOOKUP($A13,'Table 5 - Full data'!$A$2:$J$181,6,FALSE)</f>
        <v>1790</v>
      </c>
      <c r="G13" s="134">
        <f>VLOOKUP($A13,'Table 5 - Full data'!$A$2:$J$181,7,FALSE)</f>
        <v>210</v>
      </c>
      <c r="H13" s="110">
        <f>VLOOKUP($A13,'Table 5 - Full data'!$A$2:$J$181,8,FALSE)</f>
        <v>0.71</v>
      </c>
      <c r="I13" s="110">
        <f>VLOOKUP($A13,'Table 5 - Full data'!$A$2:$J$181,9,FALSE)</f>
        <v>0.26</v>
      </c>
      <c r="J13" s="110">
        <f>VLOOKUP($A13,'Table 5 - Full data'!$A$2:$J$181,10,FALSE)</f>
        <v>0.03</v>
      </c>
      <c r="K13" s="26"/>
      <c r="L13" s="35"/>
      <c r="M13" s="36"/>
      <c r="N13" s="26"/>
      <c r="O13" s="26"/>
      <c r="P13" s="26"/>
      <c r="Q13" s="26"/>
      <c r="Y13" s="5"/>
      <c r="Z13" s="6"/>
      <c r="AA13" s="15"/>
      <c r="AB13" s="2"/>
      <c r="AC13" s="2"/>
      <c r="AD13" s="51"/>
      <c r="AE13" s="6"/>
      <c r="AF13" s="6"/>
      <c r="AG13" s="6"/>
      <c r="AH13" s="23"/>
      <c r="AI13" s="23"/>
    </row>
    <row r="14" spans="1:35" ht="15.5" x14ac:dyDescent="0.35">
      <c r="A14" s="40" t="str">
        <f xml:space="preserve"> "Dundee City " &amp;$B$5</f>
        <v>Dundee City All time</v>
      </c>
      <c r="B14" s="136">
        <f>VLOOKUP($A14,'Table 5 - Full data'!$A$2:$J$1181,2,FALSE)</f>
        <v>9250</v>
      </c>
      <c r="C14" s="110">
        <f>VLOOKUP($A14,'Table 5 - Full data'!$A$2:$J$181,3,FALSE)</f>
        <v>0.03</v>
      </c>
      <c r="D14" s="134">
        <f>VLOOKUP($A14,'Table 5 - Full data'!$A$2:$J$181,4,FALSE)</f>
        <v>9000</v>
      </c>
      <c r="E14" s="134">
        <f>VLOOKUP($A14,'Table 5 - Full data'!$A$2:$J$181,5,FALSE)</f>
        <v>6450</v>
      </c>
      <c r="F14" s="134">
        <f>VLOOKUP($A14,'Table 5 - Full data'!$A$2:$J$181,6,FALSE)</f>
        <v>2265</v>
      </c>
      <c r="G14" s="134">
        <f>VLOOKUP($A14,'Table 5 - Full data'!$A$2:$J$181,7,FALSE)</f>
        <v>280</v>
      </c>
      <c r="H14" s="110">
        <f>VLOOKUP($A14,'Table 5 - Full data'!$A$2:$J$181,8,FALSE)</f>
        <v>0.72</v>
      </c>
      <c r="I14" s="110">
        <f>VLOOKUP($A14,'Table 5 - Full data'!$A$2:$J$181,9,FALSE)</f>
        <v>0.25</v>
      </c>
      <c r="J14" s="110">
        <f>VLOOKUP($A14,'Table 5 - Full data'!$A$2:$J$181,10,FALSE)</f>
        <v>0.03</v>
      </c>
      <c r="K14" s="26"/>
      <c r="L14" s="35"/>
      <c r="M14" s="36"/>
      <c r="N14" s="26"/>
      <c r="O14" s="26"/>
      <c r="P14" s="26"/>
      <c r="Q14" s="26"/>
      <c r="Y14" s="5"/>
      <c r="Z14" s="6"/>
      <c r="AA14" s="15"/>
      <c r="AB14" s="2"/>
      <c r="AC14" s="2"/>
      <c r="AD14" s="51"/>
      <c r="AE14" s="6"/>
      <c r="AF14" s="6"/>
      <c r="AG14" s="6"/>
      <c r="AH14" s="23"/>
      <c r="AI14" s="23"/>
    </row>
    <row r="15" spans="1:35" ht="15.5" x14ac:dyDescent="0.35">
      <c r="A15" s="40" t="str">
        <f xml:space="preserve"> "East Ayrshire " &amp;$B$5</f>
        <v>East Ayrshire All time</v>
      </c>
      <c r="B15" s="136">
        <f>VLOOKUP($A15,'Table 5 - Full data'!$A$2:$J$1181,2,FALSE)</f>
        <v>8060</v>
      </c>
      <c r="C15" s="110">
        <f>VLOOKUP($A15,'Table 5 - Full data'!$A$2:$J$181,3,FALSE)</f>
        <v>0.03</v>
      </c>
      <c r="D15" s="134">
        <f>VLOOKUP($A15,'Table 5 - Full data'!$A$2:$J$181,4,FALSE)</f>
        <v>7830</v>
      </c>
      <c r="E15" s="134">
        <f>VLOOKUP($A15,'Table 5 - Full data'!$A$2:$J$181,5,FALSE)</f>
        <v>5545</v>
      </c>
      <c r="F15" s="134">
        <f>VLOOKUP($A15,'Table 5 - Full data'!$A$2:$J$181,6,FALSE)</f>
        <v>2015</v>
      </c>
      <c r="G15" s="134">
        <f>VLOOKUP($A15,'Table 5 - Full data'!$A$2:$J$181,7,FALSE)</f>
        <v>270</v>
      </c>
      <c r="H15" s="110">
        <f>VLOOKUP($A15,'Table 5 - Full data'!$A$2:$J$181,8,FALSE)</f>
        <v>0.71</v>
      </c>
      <c r="I15" s="110">
        <f>VLOOKUP($A15,'Table 5 - Full data'!$A$2:$J$181,9,FALSE)</f>
        <v>0.26</v>
      </c>
      <c r="J15" s="110">
        <f>VLOOKUP($A15,'Table 5 - Full data'!$A$2:$J$181,10,FALSE)</f>
        <v>0.03</v>
      </c>
      <c r="K15" s="26"/>
      <c r="L15" s="35"/>
      <c r="M15" s="36"/>
      <c r="N15" s="26"/>
      <c r="O15" s="26"/>
      <c r="P15" s="26"/>
      <c r="Q15" s="26"/>
      <c r="Y15" s="5"/>
      <c r="Z15" s="6"/>
      <c r="AA15" s="15"/>
      <c r="AB15" s="2"/>
      <c r="AC15" s="2"/>
      <c r="AD15" s="51"/>
      <c r="AE15" s="6"/>
      <c r="AF15" s="6"/>
      <c r="AG15" s="6"/>
      <c r="AH15" s="23"/>
      <c r="AI15" s="23"/>
    </row>
    <row r="16" spans="1:35" ht="15.5" x14ac:dyDescent="0.35">
      <c r="A16" s="40" t="str">
        <f xml:space="preserve"> "East Dunbartonshire " &amp;$B$5</f>
        <v>East Dunbartonshire All time</v>
      </c>
      <c r="B16" s="136">
        <f>VLOOKUP($A16,'Table 5 - Full data'!$A$2:$J$1181,2,FALSE)</f>
        <v>2680</v>
      </c>
      <c r="C16" s="110">
        <f>VLOOKUP($A16,'Table 5 - Full data'!$A$2:$J$181,3,FALSE)</f>
        <v>0.01</v>
      </c>
      <c r="D16" s="134">
        <f>VLOOKUP($A16,'Table 5 - Full data'!$A$2:$J$181,4,FALSE)</f>
        <v>2610</v>
      </c>
      <c r="E16" s="134">
        <f>VLOOKUP($A16,'Table 5 - Full data'!$A$2:$J$181,5,FALSE)</f>
        <v>1790</v>
      </c>
      <c r="F16" s="134">
        <f>VLOOKUP($A16,'Table 5 - Full data'!$A$2:$J$181,6,FALSE)</f>
        <v>760</v>
      </c>
      <c r="G16" s="134">
        <f>VLOOKUP($A16,'Table 5 - Full data'!$A$2:$J$181,7,FALSE)</f>
        <v>55</v>
      </c>
      <c r="H16" s="110">
        <f>VLOOKUP($A16,'Table 5 - Full data'!$A$2:$J$181,8,FALSE)</f>
        <v>0.69</v>
      </c>
      <c r="I16" s="110">
        <f>VLOOKUP($A16,'Table 5 - Full data'!$A$2:$J$181,9,FALSE)</f>
        <v>0.28999999999999998</v>
      </c>
      <c r="J16" s="110">
        <f>VLOOKUP($A16,'Table 5 - Full data'!$A$2:$J$181,10,FALSE)</f>
        <v>0.02</v>
      </c>
      <c r="K16" s="26"/>
      <c r="L16" s="35"/>
      <c r="M16" s="36"/>
      <c r="N16" s="26"/>
      <c r="O16" s="26"/>
      <c r="P16" s="26"/>
      <c r="Q16" s="26"/>
      <c r="Y16" s="5"/>
      <c r="Z16" s="6"/>
      <c r="AA16" s="15"/>
      <c r="AB16" s="2"/>
      <c r="AC16" s="2"/>
      <c r="AD16" s="51"/>
      <c r="AE16" s="6"/>
      <c r="AF16" s="6"/>
      <c r="AG16" s="6"/>
      <c r="AH16" s="23"/>
      <c r="AI16" s="23"/>
    </row>
    <row r="17" spans="1:35" ht="15.5" x14ac:dyDescent="0.35">
      <c r="A17" s="40" t="str">
        <f xml:space="preserve"> "East Lothian " &amp;$B$5</f>
        <v>East Lothian All time</v>
      </c>
      <c r="B17" s="136">
        <f>VLOOKUP($A17,'Table 5 - Full data'!$A$2:$J$1181,2,FALSE)</f>
        <v>4455</v>
      </c>
      <c r="C17" s="110">
        <f>VLOOKUP($A17,'Table 5 - Full data'!$A$2:$J$181,3,FALSE)</f>
        <v>0.02</v>
      </c>
      <c r="D17" s="134">
        <f>VLOOKUP($A17,'Table 5 - Full data'!$A$2:$J$181,4,FALSE)</f>
        <v>4330</v>
      </c>
      <c r="E17" s="134">
        <f>VLOOKUP($A17,'Table 5 - Full data'!$A$2:$J$181,5,FALSE)</f>
        <v>2990</v>
      </c>
      <c r="F17" s="134">
        <f>VLOOKUP($A17,'Table 5 - Full data'!$A$2:$J$181,6,FALSE)</f>
        <v>1240</v>
      </c>
      <c r="G17" s="134">
        <f>VLOOKUP($A17,'Table 5 - Full data'!$A$2:$J$181,7,FALSE)</f>
        <v>100</v>
      </c>
      <c r="H17" s="110">
        <f>VLOOKUP($A17,'Table 5 - Full data'!$A$2:$J$181,8,FALSE)</f>
        <v>0.69</v>
      </c>
      <c r="I17" s="110">
        <f>VLOOKUP($A17,'Table 5 - Full data'!$A$2:$J$181,9,FALSE)</f>
        <v>0.28999999999999998</v>
      </c>
      <c r="J17" s="110">
        <f>VLOOKUP($A17,'Table 5 - Full data'!$A$2:$J$181,10,FALSE)</f>
        <v>0.02</v>
      </c>
      <c r="K17" s="26"/>
      <c r="L17" s="35"/>
      <c r="M17" s="36"/>
      <c r="N17" s="26"/>
      <c r="O17" s="66"/>
      <c r="P17" s="7"/>
      <c r="Q17" s="72"/>
      <c r="R17" s="7"/>
      <c r="S17" s="7"/>
      <c r="T17" s="7"/>
      <c r="U17" s="7"/>
      <c r="V17" s="72"/>
      <c r="W17" s="72"/>
      <c r="X17" s="72"/>
      <c r="Y17" s="5"/>
      <c r="Z17" s="6"/>
      <c r="AA17" s="15"/>
      <c r="AB17" s="2"/>
      <c r="AC17" s="2"/>
      <c r="AD17" s="51"/>
      <c r="AE17" s="6"/>
      <c r="AF17" s="6"/>
      <c r="AG17" s="6"/>
      <c r="AH17" s="23"/>
      <c r="AI17" s="23"/>
    </row>
    <row r="18" spans="1:35" ht="15.5" x14ac:dyDescent="0.35">
      <c r="A18" s="40" t="str">
        <f xml:space="preserve"> "East Renfrewshire " &amp;$B$5</f>
        <v>East Renfrewshire All time</v>
      </c>
      <c r="B18" s="136">
        <f>VLOOKUP($A18,'Table 5 - Full data'!$A$2:$J$1181,2,FALSE)</f>
        <v>2415</v>
      </c>
      <c r="C18" s="110">
        <f>VLOOKUP($A18,'Table 5 - Full data'!$A$2:$J$181,3,FALSE)</f>
        <v>0.01</v>
      </c>
      <c r="D18" s="134">
        <f>VLOOKUP($A18,'Table 5 - Full data'!$A$2:$J$181,4,FALSE)</f>
        <v>2340</v>
      </c>
      <c r="E18" s="134">
        <f>VLOOKUP($A18,'Table 5 - Full data'!$A$2:$J$181,5,FALSE)</f>
        <v>1580</v>
      </c>
      <c r="F18" s="134">
        <f>VLOOKUP($A18,'Table 5 - Full data'!$A$2:$J$181,6,FALSE)</f>
        <v>695</v>
      </c>
      <c r="G18" s="134">
        <f>VLOOKUP($A18,'Table 5 - Full data'!$A$2:$J$181,7,FALSE)</f>
        <v>60</v>
      </c>
      <c r="H18" s="110">
        <f>VLOOKUP($A18,'Table 5 - Full data'!$A$2:$J$181,8,FALSE)</f>
        <v>0.68</v>
      </c>
      <c r="I18" s="110">
        <f>VLOOKUP($A18,'Table 5 - Full data'!$A$2:$J$181,9,FALSE)</f>
        <v>0.3</v>
      </c>
      <c r="J18" s="110">
        <f>VLOOKUP($A18,'Table 5 - Full data'!$A$2:$J$181,10,FALSE)</f>
        <v>0.03</v>
      </c>
      <c r="K18" s="26"/>
      <c r="L18" s="35"/>
      <c r="M18" s="36"/>
      <c r="N18" s="26"/>
      <c r="O18" s="26"/>
      <c r="P18" s="26"/>
      <c r="Q18" s="26"/>
      <c r="Y18" s="5"/>
      <c r="Z18" s="6"/>
      <c r="AA18" s="15"/>
      <c r="AB18" s="2"/>
      <c r="AC18" s="2"/>
      <c r="AD18" s="51"/>
      <c r="AE18" s="6"/>
      <c r="AF18" s="6"/>
      <c r="AG18" s="6"/>
      <c r="AH18" s="23"/>
      <c r="AI18" s="23"/>
    </row>
    <row r="19" spans="1:35" ht="15.5" x14ac:dyDescent="0.35">
      <c r="A19" s="40" t="str">
        <f xml:space="preserve"> "Edinburgh, City of " &amp;$B$5</f>
        <v>Edinburgh, City of All time</v>
      </c>
      <c r="B19" s="136">
        <f>VLOOKUP($A19,'Table 5 - Full data'!$A$2:$J$1181,2,FALSE)</f>
        <v>16860</v>
      </c>
      <c r="C19" s="110">
        <f>VLOOKUP($A19,'Table 5 - Full data'!$A$2:$J$181,3,FALSE)</f>
        <v>0.06</v>
      </c>
      <c r="D19" s="134">
        <f>VLOOKUP($A19,'Table 5 - Full data'!$A$2:$J$181,4,FALSE)</f>
        <v>16320</v>
      </c>
      <c r="E19" s="134">
        <f>VLOOKUP($A19,'Table 5 - Full data'!$A$2:$J$181,5,FALSE)</f>
        <v>11260</v>
      </c>
      <c r="F19" s="134">
        <f>VLOOKUP($A19,'Table 5 - Full data'!$A$2:$J$181,6,FALSE)</f>
        <v>4595</v>
      </c>
      <c r="G19" s="134">
        <f>VLOOKUP($A19,'Table 5 - Full data'!$A$2:$J$181,7,FALSE)</f>
        <v>460</v>
      </c>
      <c r="H19" s="110">
        <f>VLOOKUP($A19,'Table 5 - Full data'!$A$2:$J$181,8,FALSE)</f>
        <v>0.69</v>
      </c>
      <c r="I19" s="110">
        <f>VLOOKUP($A19,'Table 5 - Full data'!$A$2:$J$181,9,FALSE)</f>
        <v>0.28000000000000003</v>
      </c>
      <c r="J19" s="110">
        <f>VLOOKUP($A19,'Table 5 - Full data'!$A$2:$J$181,10,FALSE)</f>
        <v>0.03</v>
      </c>
      <c r="K19" s="26"/>
      <c r="L19" s="35"/>
      <c r="M19" s="36"/>
      <c r="N19" s="26"/>
      <c r="O19" s="26"/>
      <c r="P19" s="26"/>
      <c r="Q19" s="26"/>
      <c r="Y19" s="5"/>
      <c r="Z19" s="6"/>
      <c r="AA19" s="15"/>
      <c r="AB19" s="2"/>
      <c r="AC19" s="2"/>
      <c r="AD19" s="51"/>
      <c r="AE19" s="6"/>
      <c r="AF19" s="6"/>
      <c r="AG19" s="6"/>
      <c r="AH19" s="23"/>
      <c r="AI19" s="23"/>
    </row>
    <row r="20" spans="1:35" s="24" customFormat="1" ht="16.5" customHeight="1" x14ac:dyDescent="0.35">
      <c r="A20" s="40" t="str">
        <f xml:space="preserve"> "Falkirk " &amp;$B$5</f>
        <v>Falkirk All time</v>
      </c>
      <c r="B20" s="136">
        <f>VLOOKUP($A20,'Table 5 - Full data'!$A$2:$J$1181,2,FALSE)</f>
        <v>7655</v>
      </c>
      <c r="C20" s="110">
        <f>VLOOKUP($A20,'Table 5 - Full data'!$A$2:$J$181,3,FALSE)</f>
        <v>0.03</v>
      </c>
      <c r="D20" s="134">
        <f>VLOOKUP($A20,'Table 5 - Full data'!$A$2:$J$181,4,FALSE)</f>
        <v>7445</v>
      </c>
      <c r="E20" s="134">
        <f>VLOOKUP($A20,'Table 5 - Full data'!$A$2:$J$181,5,FALSE)</f>
        <v>5315</v>
      </c>
      <c r="F20" s="134">
        <f>VLOOKUP($A20,'Table 5 - Full data'!$A$2:$J$181,6,FALSE)</f>
        <v>1900</v>
      </c>
      <c r="G20" s="134">
        <f>VLOOKUP($A20,'Table 5 - Full data'!$A$2:$J$181,7,FALSE)</f>
        <v>225</v>
      </c>
      <c r="H20" s="110">
        <f>VLOOKUP($A20,'Table 5 - Full data'!$A$2:$J$181,8,FALSE)</f>
        <v>0.71</v>
      </c>
      <c r="I20" s="110">
        <f>VLOOKUP($A20,'Table 5 - Full data'!$A$2:$J$181,9,FALSE)</f>
        <v>0.26</v>
      </c>
      <c r="J20" s="110">
        <f>VLOOKUP($A20,'Table 5 - Full data'!$A$2:$J$181,10,FALSE)</f>
        <v>0.03</v>
      </c>
      <c r="K20" s="41"/>
      <c r="L20" s="41"/>
      <c r="M20" s="41"/>
      <c r="N20" s="41"/>
      <c r="O20" s="41"/>
      <c r="P20" s="41"/>
      <c r="Q20" s="41"/>
      <c r="W20" s="21"/>
      <c r="X20" s="21"/>
      <c r="Y20" s="53"/>
      <c r="Z20" s="53"/>
      <c r="AA20" s="53"/>
      <c r="AB20" s="53"/>
      <c r="AC20" s="53"/>
      <c r="AD20" s="53"/>
      <c r="AE20" s="53"/>
      <c r="AF20" s="53"/>
      <c r="AG20" s="53"/>
      <c r="AH20" s="53"/>
      <c r="AI20" s="53"/>
    </row>
    <row r="21" spans="1:35" s="24" customFormat="1" ht="17.149999999999999" customHeight="1" x14ac:dyDescent="0.35">
      <c r="A21" s="40" t="str">
        <f xml:space="preserve"> "Fife " &amp;$B$5</f>
        <v>Fife All time</v>
      </c>
      <c r="B21" s="136">
        <f>VLOOKUP($A21,'Table 5 - Full data'!$A$2:$J$1181,2,FALSE)</f>
        <v>20045</v>
      </c>
      <c r="C21" s="110">
        <f>VLOOKUP($A21,'Table 5 - Full data'!$A$2:$J$181,3,FALSE)</f>
        <v>7.0000000000000007E-2</v>
      </c>
      <c r="D21" s="134">
        <f>VLOOKUP($A21,'Table 5 - Full data'!$A$2:$J$181,4,FALSE)</f>
        <v>19490</v>
      </c>
      <c r="E21" s="134">
        <f>VLOOKUP($A21,'Table 5 - Full data'!$A$2:$J$181,5,FALSE)</f>
        <v>13880</v>
      </c>
      <c r="F21" s="134">
        <f>VLOOKUP($A21,'Table 5 - Full data'!$A$2:$J$181,6,FALSE)</f>
        <v>5050</v>
      </c>
      <c r="G21" s="134">
        <f>VLOOKUP($A21,'Table 5 - Full data'!$A$2:$J$181,7,FALSE)</f>
        <v>560</v>
      </c>
      <c r="H21" s="110">
        <f>VLOOKUP($A21,'Table 5 - Full data'!$A$2:$J$181,8,FALSE)</f>
        <v>0.71</v>
      </c>
      <c r="I21" s="110">
        <f>VLOOKUP($A21,'Table 5 - Full data'!$A$2:$J$181,9,FALSE)</f>
        <v>0.26</v>
      </c>
      <c r="J21" s="110">
        <f>VLOOKUP($A21,'Table 5 - Full data'!$A$2:$J$181,10,FALSE)</f>
        <v>0.03</v>
      </c>
      <c r="K21" s="41"/>
      <c r="L21" s="41"/>
      <c r="M21" s="41"/>
      <c r="N21" s="41"/>
      <c r="O21" s="41"/>
      <c r="P21" s="41"/>
      <c r="Q21" s="41"/>
      <c r="W21" s="21"/>
      <c r="X21" s="21"/>
      <c r="Y21" s="53"/>
      <c r="Z21" s="53"/>
      <c r="AA21" s="53"/>
      <c r="AB21" s="53"/>
      <c r="AC21" s="53"/>
      <c r="AD21" s="53"/>
      <c r="AE21" s="53"/>
      <c r="AF21" s="53"/>
      <c r="AG21" s="53"/>
      <c r="AH21" s="53"/>
      <c r="AI21" s="53"/>
    </row>
    <row r="22" spans="1:35" s="24" customFormat="1" ht="16" customHeight="1" x14ac:dyDescent="0.35">
      <c r="A22" s="40" t="str">
        <f xml:space="preserve"> "Glasgow City " &amp;$B$5</f>
        <v>Glasgow City All time</v>
      </c>
      <c r="B22" s="136">
        <f>VLOOKUP($A22,'Table 5 - Full data'!$A$2:$J$1181,2,FALSE)</f>
        <v>45965</v>
      </c>
      <c r="C22" s="110">
        <f>VLOOKUP($A22,'Table 5 - Full data'!$A$2:$J$181,3,FALSE)</f>
        <v>0.17</v>
      </c>
      <c r="D22" s="134">
        <f>VLOOKUP($A22,'Table 5 - Full data'!$A$2:$J$181,4,FALSE)</f>
        <v>44565</v>
      </c>
      <c r="E22" s="134">
        <f>VLOOKUP($A22,'Table 5 - Full data'!$A$2:$J$181,5,FALSE)</f>
        <v>30275</v>
      </c>
      <c r="F22" s="134">
        <f>VLOOKUP($A22,'Table 5 - Full data'!$A$2:$J$181,6,FALSE)</f>
        <v>12860</v>
      </c>
      <c r="G22" s="134">
        <f>VLOOKUP($A22,'Table 5 - Full data'!$A$2:$J$181,7,FALSE)</f>
        <v>1430</v>
      </c>
      <c r="H22" s="110">
        <f>VLOOKUP($A22,'Table 5 - Full data'!$A$2:$J$181,8,FALSE)</f>
        <v>0.68</v>
      </c>
      <c r="I22" s="110">
        <f>VLOOKUP($A22,'Table 5 - Full data'!$A$2:$J$181,9,FALSE)</f>
        <v>0.28999999999999998</v>
      </c>
      <c r="J22" s="110">
        <f>VLOOKUP($A22,'Table 5 - Full data'!$A$2:$J$181,10,FALSE)</f>
        <v>0.03</v>
      </c>
      <c r="K22" s="27"/>
      <c r="L22" s="41"/>
      <c r="M22" s="41"/>
      <c r="N22" s="41"/>
      <c r="O22" s="41"/>
      <c r="P22" s="41"/>
      <c r="Q22" s="41"/>
      <c r="W22" s="21"/>
      <c r="X22" s="21"/>
      <c r="Y22" s="53"/>
      <c r="Z22" s="53"/>
      <c r="AA22" s="53"/>
      <c r="AB22" s="53"/>
      <c r="AC22" s="53"/>
      <c r="AD22" s="53"/>
      <c r="AE22" s="53"/>
      <c r="AF22" s="53"/>
      <c r="AG22" s="53"/>
      <c r="AH22" s="53"/>
      <c r="AI22" s="53"/>
    </row>
    <row r="23" spans="1:35" s="24" customFormat="1" ht="15.5" x14ac:dyDescent="0.35">
      <c r="A23" s="40" t="str">
        <f xml:space="preserve"> "Highland " &amp;$B$5</f>
        <v>Highland All time</v>
      </c>
      <c r="B23" s="136">
        <f>VLOOKUP($A23,'Table 5 - Full data'!$A$2:$J$1181,2,FALSE)</f>
        <v>8960</v>
      </c>
      <c r="C23" s="110">
        <f>VLOOKUP($A23,'Table 5 - Full data'!$A$2:$J$181,3,FALSE)</f>
        <v>0.03</v>
      </c>
      <c r="D23" s="134">
        <f>VLOOKUP($A23,'Table 5 - Full data'!$A$2:$J$181,4,FALSE)</f>
        <v>8690</v>
      </c>
      <c r="E23" s="134">
        <f>VLOOKUP($A23,'Table 5 - Full data'!$A$2:$J$181,5,FALSE)</f>
        <v>6050</v>
      </c>
      <c r="F23" s="134">
        <f>VLOOKUP($A23,'Table 5 - Full data'!$A$2:$J$181,6,FALSE)</f>
        <v>2380</v>
      </c>
      <c r="G23" s="134">
        <f>VLOOKUP($A23,'Table 5 - Full data'!$A$2:$J$181,7,FALSE)</f>
        <v>255</v>
      </c>
      <c r="H23" s="110">
        <f>VLOOKUP($A23,'Table 5 - Full data'!$A$2:$J$181,8,FALSE)</f>
        <v>0.7</v>
      </c>
      <c r="I23" s="110">
        <f>VLOOKUP($A23,'Table 5 - Full data'!$A$2:$J$181,9,FALSE)</f>
        <v>0.27</v>
      </c>
      <c r="J23" s="110">
        <f>VLOOKUP($A23,'Table 5 - Full data'!$A$2:$J$181,10,FALSE)</f>
        <v>0.03</v>
      </c>
      <c r="K23" s="41"/>
      <c r="L23" s="41"/>
      <c r="M23" s="41"/>
      <c r="N23" s="41"/>
      <c r="O23" s="41"/>
      <c r="P23" s="41"/>
      <c r="Q23" s="41"/>
      <c r="W23" s="21"/>
      <c r="X23" s="21"/>
      <c r="Y23" s="53"/>
      <c r="Z23" s="53"/>
      <c r="AA23" s="53"/>
      <c r="AB23" s="53"/>
      <c r="AC23" s="53"/>
      <c r="AD23" s="53"/>
      <c r="AE23" s="53"/>
      <c r="AF23" s="53"/>
      <c r="AG23" s="53"/>
      <c r="AH23" s="53"/>
      <c r="AI23" s="53"/>
    </row>
    <row r="24" spans="1:35" s="24" customFormat="1" ht="15.5" x14ac:dyDescent="0.35">
      <c r="A24" s="40" t="str">
        <f xml:space="preserve"> "Inverclyde " &amp;$B$5</f>
        <v>Inverclyde All time</v>
      </c>
      <c r="B24" s="136">
        <f>VLOOKUP($A24,'Table 5 - Full data'!$A$2:$J$1181,2,FALSE)</f>
        <v>4620</v>
      </c>
      <c r="C24" s="110">
        <f>VLOOKUP($A24,'Table 5 - Full data'!$A$2:$J$181,3,FALSE)</f>
        <v>0.02</v>
      </c>
      <c r="D24" s="134">
        <f>VLOOKUP($A24,'Table 5 - Full data'!$A$2:$J$181,4,FALSE)</f>
        <v>4515</v>
      </c>
      <c r="E24" s="134">
        <f>VLOOKUP($A24,'Table 5 - Full data'!$A$2:$J$181,5,FALSE)</f>
        <v>3125</v>
      </c>
      <c r="F24" s="134">
        <f>VLOOKUP($A24,'Table 5 - Full data'!$A$2:$J$181,6,FALSE)</f>
        <v>1275</v>
      </c>
      <c r="G24" s="134">
        <f>VLOOKUP($A24,'Table 5 - Full data'!$A$2:$J$181,7,FALSE)</f>
        <v>115</v>
      </c>
      <c r="H24" s="110">
        <f>VLOOKUP($A24,'Table 5 - Full data'!$A$2:$J$181,8,FALSE)</f>
        <v>0.69</v>
      </c>
      <c r="I24" s="110">
        <f>VLOOKUP($A24,'Table 5 - Full data'!$A$2:$J$181,9,FALSE)</f>
        <v>0.28000000000000003</v>
      </c>
      <c r="J24" s="110">
        <f>VLOOKUP($A24,'Table 5 - Full data'!$A$2:$J$181,10,FALSE)</f>
        <v>0.03</v>
      </c>
      <c r="K24" s="41"/>
      <c r="L24" s="41"/>
      <c r="M24" s="41"/>
      <c r="N24" s="41"/>
      <c r="O24" s="41"/>
      <c r="P24" s="41"/>
      <c r="Q24" s="41"/>
      <c r="W24" s="21"/>
      <c r="X24" s="21"/>
      <c r="Y24" s="53"/>
      <c r="Z24" s="53"/>
      <c r="AA24" s="53"/>
      <c r="AB24" s="53"/>
      <c r="AC24" s="53"/>
      <c r="AD24" s="53"/>
      <c r="AE24" s="53"/>
      <c r="AF24" s="53"/>
      <c r="AG24" s="53"/>
      <c r="AH24" s="53"/>
      <c r="AI24" s="53"/>
    </row>
    <row r="25" spans="1:35" ht="15.5" x14ac:dyDescent="0.35">
      <c r="A25" s="40" t="str">
        <f xml:space="preserve"> "Midlothian " &amp;$B$5</f>
        <v>Midlothian All time</v>
      </c>
      <c r="B25" s="136">
        <f>VLOOKUP($A25,'Table 5 - Full data'!$A$2:$J$1181,2,FALSE)</f>
        <v>4980</v>
      </c>
      <c r="C25" s="110">
        <f>VLOOKUP($A25,'Table 5 - Full data'!$A$2:$J$181,3,FALSE)</f>
        <v>0.02</v>
      </c>
      <c r="D25" s="134">
        <f>VLOOKUP($A25,'Table 5 - Full data'!$A$2:$J$181,4,FALSE)</f>
        <v>4840</v>
      </c>
      <c r="E25" s="134">
        <f>VLOOKUP($A25,'Table 5 - Full data'!$A$2:$J$181,5,FALSE)</f>
        <v>3380</v>
      </c>
      <c r="F25" s="134">
        <f>VLOOKUP($A25,'Table 5 - Full data'!$A$2:$J$181,6,FALSE)</f>
        <v>1335</v>
      </c>
      <c r="G25" s="134">
        <f>VLOOKUP($A25,'Table 5 - Full data'!$A$2:$J$181,7,FALSE)</f>
        <v>125</v>
      </c>
      <c r="H25" s="110">
        <f>VLOOKUP($A25,'Table 5 - Full data'!$A$2:$J$181,8,FALSE)</f>
        <v>0.7</v>
      </c>
      <c r="I25" s="110">
        <f>VLOOKUP($A25,'Table 5 - Full data'!$A$2:$J$181,9,FALSE)</f>
        <v>0.28000000000000003</v>
      </c>
      <c r="J25" s="110">
        <f>VLOOKUP($A25,'Table 5 - Full data'!$A$2:$J$181,10,FALSE)</f>
        <v>0.03</v>
      </c>
      <c r="K25" s="26"/>
      <c r="L25" s="26"/>
      <c r="M25" s="26"/>
      <c r="N25" s="26"/>
      <c r="O25" s="26"/>
      <c r="P25" s="26"/>
      <c r="Q25" s="26"/>
    </row>
    <row r="26" spans="1:35" ht="15.5" x14ac:dyDescent="0.35">
      <c r="A26" s="40" t="str">
        <f xml:space="preserve"> "Moray " &amp;$B$5</f>
        <v>Moray All time</v>
      </c>
      <c r="B26" s="136">
        <f>VLOOKUP($A26,'Table 5 - Full data'!$A$2:$J$1181,2,FALSE)</f>
        <v>3730</v>
      </c>
      <c r="C26" s="110">
        <f>VLOOKUP($A26,'Table 5 - Full data'!$A$2:$J$181,3,FALSE)</f>
        <v>0.01</v>
      </c>
      <c r="D26" s="134">
        <f>VLOOKUP($A26,'Table 5 - Full data'!$A$2:$J$181,4,FALSE)</f>
        <v>3605</v>
      </c>
      <c r="E26" s="134">
        <f>VLOOKUP($A26,'Table 5 - Full data'!$A$2:$J$181,5,FALSE)</f>
        <v>2495</v>
      </c>
      <c r="F26" s="134">
        <f>VLOOKUP($A26,'Table 5 - Full data'!$A$2:$J$181,6,FALSE)</f>
        <v>1020</v>
      </c>
      <c r="G26" s="134">
        <f>VLOOKUP($A26,'Table 5 - Full data'!$A$2:$J$181,7,FALSE)</f>
        <v>90</v>
      </c>
      <c r="H26" s="110">
        <f>VLOOKUP($A26,'Table 5 - Full data'!$A$2:$J$181,8,FALSE)</f>
        <v>0.69</v>
      </c>
      <c r="I26" s="110">
        <f>VLOOKUP($A26,'Table 5 - Full data'!$A$2:$J$181,9,FALSE)</f>
        <v>0.28000000000000003</v>
      </c>
      <c r="J26" s="110">
        <f>VLOOKUP($A26,'Table 5 - Full data'!$A$2:$J$181,10,FALSE)</f>
        <v>0.02</v>
      </c>
      <c r="K26" s="26"/>
      <c r="L26" s="26"/>
      <c r="M26" s="26"/>
      <c r="N26" s="26"/>
      <c r="O26" s="26"/>
      <c r="P26" s="26"/>
      <c r="Q26" s="26"/>
    </row>
    <row r="27" spans="1:35" ht="15.5" x14ac:dyDescent="0.35">
      <c r="A27" s="40" t="str">
        <f xml:space="preserve"> "Na h-Eileanan Siar " &amp;$B$5</f>
        <v>Na h-Eileanan Siar All time</v>
      </c>
      <c r="B27" s="136">
        <f>VLOOKUP($A27,'Table 5 - Full data'!$A$2:$J$1181,2,FALSE)</f>
        <v>810</v>
      </c>
      <c r="C27" s="110">
        <f>VLOOKUP($A27,'Table 5 - Full data'!$A$2:$J$181,3,FALSE)</f>
        <v>0</v>
      </c>
      <c r="D27" s="134">
        <f>VLOOKUP($A27,'Table 5 - Full data'!$A$2:$J$181,4,FALSE)</f>
        <v>780</v>
      </c>
      <c r="E27" s="134">
        <f>VLOOKUP($A27,'Table 5 - Full data'!$A$2:$J$181,5,FALSE)</f>
        <v>515</v>
      </c>
      <c r="F27" s="134">
        <f>VLOOKUP($A27,'Table 5 - Full data'!$A$2:$J$181,6,FALSE)</f>
        <v>250</v>
      </c>
      <c r="G27" s="134">
        <f>VLOOKUP($A27,'Table 5 - Full data'!$A$2:$J$181,7,FALSE)</f>
        <v>15</v>
      </c>
      <c r="H27" s="110">
        <f>VLOOKUP($A27,'Table 5 - Full data'!$A$2:$J$181,8,FALSE)</f>
        <v>0.66</v>
      </c>
      <c r="I27" s="110">
        <f>VLOOKUP($A27,'Table 5 - Full data'!$A$2:$J$181,9,FALSE)</f>
        <v>0.32</v>
      </c>
      <c r="J27" s="110">
        <f>VLOOKUP($A27,'Table 5 - Full data'!$A$2:$J$181,10,FALSE)</f>
        <v>0.02</v>
      </c>
      <c r="K27" s="26"/>
      <c r="L27" s="26"/>
      <c r="M27" s="26"/>
      <c r="N27" s="26"/>
      <c r="O27" s="26"/>
      <c r="P27" s="26"/>
      <c r="Q27" s="26"/>
    </row>
    <row r="28" spans="1:35" ht="15.5" x14ac:dyDescent="0.35">
      <c r="A28" s="40" t="str">
        <f xml:space="preserve"> "North Ayrshire " &amp;$B$5</f>
        <v>North Ayrshire All time</v>
      </c>
      <c r="B28" s="136">
        <f>VLOOKUP($A28,'Table 5 - Full data'!$A$2:$J$1181,2,FALSE)</f>
        <v>9005</v>
      </c>
      <c r="C28" s="110">
        <f>VLOOKUP($A28,'Table 5 - Full data'!$A$2:$J$181,3,FALSE)</f>
        <v>0.03</v>
      </c>
      <c r="D28" s="134">
        <f>VLOOKUP($A28,'Table 5 - Full data'!$A$2:$J$181,4,FALSE)</f>
        <v>8770</v>
      </c>
      <c r="E28" s="134">
        <f>VLOOKUP($A28,'Table 5 - Full data'!$A$2:$J$181,5,FALSE)</f>
        <v>6260</v>
      </c>
      <c r="F28" s="134">
        <f>VLOOKUP($A28,'Table 5 - Full data'!$A$2:$J$181,6,FALSE)</f>
        <v>2245</v>
      </c>
      <c r="G28" s="134">
        <f>VLOOKUP($A28,'Table 5 - Full data'!$A$2:$J$181,7,FALSE)</f>
        <v>265</v>
      </c>
      <c r="H28" s="110">
        <f>VLOOKUP($A28,'Table 5 - Full data'!$A$2:$J$181,8,FALSE)</f>
        <v>0.71</v>
      </c>
      <c r="I28" s="110">
        <f>VLOOKUP($A28,'Table 5 - Full data'!$A$2:$J$181,9,FALSE)</f>
        <v>0.26</v>
      </c>
      <c r="J28" s="110">
        <f>VLOOKUP($A28,'Table 5 - Full data'!$A$2:$J$181,10,FALSE)</f>
        <v>0.03</v>
      </c>
      <c r="K28" s="26"/>
      <c r="L28" s="26"/>
      <c r="M28" s="26"/>
      <c r="N28" s="26"/>
      <c r="O28" s="26"/>
      <c r="P28" s="26"/>
      <c r="Q28" s="26"/>
    </row>
    <row r="29" spans="1:35" ht="15.5" x14ac:dyDescent="0.35">
      <c r="A29" s="40" t="str">
        <f xml:space="preserve"> "North Lanarkshire " &amp;$B$5</f>
        <v>North Lanarkshire All time</v>
      </c>
      <c r="B29" s="136">
        <f>VLOOKUP($A29,'Table 5 - Full data'!$A$2:$J$1181,2,FALSE)</f>
        <v>21535</v>
      </c>
      <c r="C29" s="110">
        <f>VLOOKUP($A29,'Table 5 - Full data'!$A$2:$J$181,3,FALSE)</f>
        <v>0.08</v>
      </c>
      <c r="D29" s="134">
        <f>VLOOKUP($A29,'Table 5 - Full data'!$A$2:$J$181,4,FALSE)</f>
        <v>20925</v>
      </c>
      <c r="E29" s="134">
        <f>VLOOKUP($A29,'Table 5 - Full data'!$A$2:$J$181,5,FALSE)</f>
        <v>14530</v>
      </c>
      <c r="F29" s="134">
        <f>VLOOKUP($A29,'Table 5 - Full data'!$A$2:$J$181,6,FALSE)</f>
        <v>5770</v>
      </c>
      <c r="G29" s="134">
        <f>VLOOKUP($A29,'Table 5 - Full data'!$A$2:$J$181,7,FALSE)</f>
        <v>625</v>
      </c>
      <c r="H29" s="110">
        <f>VLOOKUP($A29,'Table 5 - Full data'!$A$2:$J$181,8,FALSE)</f>
        <v>0.69</v>
      </c>
      <c r="I29" s="110">
        <f>VLOOKUP($A29,'Table 5 - Full data'!$A$2:$J$181,9,FALSE)</f>
        <v>0.28000000000000003</v>
      </c>
      <c r="J29" s="110">
        <f>VLOOKUP($A29,'Table 5 - Full data'!$A$2:$J$181,10,FALSE)</f>
        <v>0.03</v>
      </c>
      <c r="K29" s="26"/>
      <c r="L29" s="26"/>
      <c r="M29" s="26"/>
      <c r="N29" s="26"/>
      <c r="O29" s="26"/>
      <c r="P29" s="26"/>
      <c r="Q29" s="26"/>
    </row>
    <row r="30" spans="1:35" ht="15.5" x14ac:dyDescent="0.35">
      <c r="A30" s="40" t="str">
        <f xml:space="preserve"> "Orkney Islands " &amp;$B$5</f>
        <v>Orkney Islands All time</v>
      </c>
      <c r="B30" s="136">
        <f>VLOOKUP($A30,'Table 5 - Full data'!$A$2:$J$1181,2,FALSE)</f>
        <v>575</v>
      </c>
      <c r="C30" s="110">
        <f>VLOOKUP($A30,'Table 5 - Full data'!$A$2:$J$181,3,FALSE)</f>
        <v>0</v>
      </c>
      <c r="D30" s="134">
        <f>VLOOKUP($A30,'Table 5 - Full data'!$A$2:$J$181,4,FALSE)</f>
        <v>565</v>
      </c>
      <c r="E30" s="134">
        <f>VLOOKUP($A30,'Table 5 - Full data'!$A$2:$J$181,5,FALSE)</f>
        <v>365</v>
      </c>
      <c r="F30" s="134">
        <f>VLOOKUP($A30,'Table 5 - Full data'!$A$2:$J$181,6,FALSE)</f>
        <v>190</v>
      </c>
      <c r="G30" s="134">
        <f>VLOOKUP($A30,'Table 5 - Full data'!$A$2:$J$181,7,FALSE)</f>
        <v>10</v>
      </c>
      <c r="H30" s="110">
        <f>VLOOKUP($A30,'Table 5 - Full data'!$A$2:$J$181,8,FALSE)</f>
        <v>0.65</v>
      </c>
      <c r="I30" s="110">
        <f>VLOOKUP($A30,'Table 5 - Full data'!$A$2:$J$181,9,FALSE)</f>
        <v>0.33</v>
      </c>
      <c r="J30" s="110">
        <f>VLOOKUP($A30,'Table 5 - Full data'!$A$2:$J$181,10,FALSE)</f>
        <v>0.02</v>
      </c>
      <c r="K30" s="26"/>
      <c r="L30" s="26"/>
      <c r="M30" s="26"/>
      <c r="N30" s="26"/>
      <c r="O30" s="26"/>
      <c r="P30" s="26"/>
      <c r="Q30" s="26"/>
    </row>
    <row r="31" spans="1:35" ht="15.5" x14ac:dyDescent="0.35">
      <c r="A31" s="40" t="str">
        <f xml:space="preserve"> "Perth &amp; Kinross " &amp;$B$5</f>
        <v>Perth &amp; Kinross All time</v>
      </c>
      <c r="B31" s="136">
        <f>VLOOKUP($A31,'Table 5 - Full data'!$A$2:$J$1181,2,FALSE)</f>
        <v>5325</v>
      </c>
      <c r="C31" s="110">
        <f>VLOOKUP($A31,'Table 5 - Full data'!$A$2:$J$181,3,FALSE)</f>
        <v>0.02</v>
      </c>
      <c r="D31" s="134">
        <f>VLOOKUP($A31,'Table 5 - Full data'!$A$2:$J$181,4,FALSE)</f>
        <v>5160</v>
      </c>
      <c r="E31" s="134">
        <f>VLOOKUP($A31,'Table 5 - Full data'!$A$2:$J$181,5,FALSE)</f>
        <v>3600</v>
      </c>
      <c r="F31" s="134">
        <f>VLOOKUP($A31,'Table 5 - Full data'!$A$2:$J$181,6,FALSE)</f>
        <v>1435</v>
      </c>
      <c r="G31" s="134">
        <f>VLOOKUP($A31,'Table 5 - Full data'!$A$2:$J$181,7,FALSE)</f>
        <v>125</v>
      </c>
      <c r="H31" s="110">
        <f>VLOOKUP($A31,'Table 5 - Full data'!$A$2:$J$181,8,FALSE)</f>
        <v>0.7</v>
      </c>
      <c r="I31" s="110">
        <f>VLOOKUP($A31,'Table 5 - Full data'!$A$2:$J$181,9,FALSE)</f>
        <v>0.28000000000000003</v>
      </c>
      <c r="J31" s="110">
        <f>VLOOKUP($A31,'Table 5 - Full data'!$A$2:$J$181,10,FALSE)</f>
        <v>0.02</v>
      </c>
      <c r="K31" s="26"/>
      <c r="L31" s="26"/>
      <c r="M31" s="26"/>
      <c r="N31" s="26"/>
      <c r="O31" s="26"/>
      <c r="P31" s="26"/>
      <c r="Q31" s="26"/>
    </row>
    <row r="32" spans="1:35" ht="15.5" x14ac:dyDescent="0.35">
      <c r="A32" s="40" t="str">
        <f xml:space="preserve"> "Renfrewshire " &amp;$B$5</f>
        <v>Renfrewshire All time</v>
      </c>
      <c r="B32" s="136">
        <f>VLOOKUP($A32,'Table 5 - Full data'!$A$2:$J$1181,2,FALSE)</f>
        <v>8980</v>
      </c>
      <c r="C32" s="110">
        <f>VLOOKUP($A32,'Table 5 - Full data'!$A$2:$J$181,3,FALSE)</f>
        <v>0.03</v>
      </c>
      <c r="D32" s="134">
        <f>VLOOKUP($A32,'Table 5 - Full data'!$A$2:$J$181,4,FALSE)</f>
        <v>8750</v>
      </c>
      <c r="E32" s="134">
        <f>VLOOKUP($A32,'Table 5 - Full data'!$A$2:$J$181,5,FALSE)</f>
        <v>6015</v>
      </c>
      <c r="F32" s="134">
        <f>VLOOKUP($A32,'Table 5 - Full data'!$A$2:$J$181,6,FALSE)</f>
        <v>2455</v>
      </c>
      <c r="G32" s="134">
        <f>VLOOKUP($A32,'Table 5 - Full data'!$A$2:$J$181,7,FALSE)</f>
        <v>280</v>
      </c>
      <c r="H32" s="110">
        <f>VLOOKUP($A32,'Table 5 - Full data'!$A$2:$J$181,8,FALSE)</f>
        <v>0.69</v>
      </c>
      <c r="I32" s="110">
        <f>VLOOKUP($A32,'Table 5 - Full data'!$A$2:$J$181,9,FALSE)</f>
        <v>0.28000000000000003</v>
      </c>
      <c r="J32" s="110">
        <f>VLOOKUP($A32,'Table 5 - Full data'!$A$2:$J$181,10,FALSE)</f>
        <v>0.03</v>
      </c>
      <c r="K32" s="26"/>
      <c r="L32" s="26"/>
      <c r="M32" s="26"/>
      <c r="N32" s="26"/>
      <c r="O32" s="26"/>
      <c r="P32" s="26"/>
      <c r="Q32" s="26"/>
    </row>
    <row r="33" spans="1:17" ht="15.5" x14ac:dyDescent="0.35">
      <c r="A33" s="40" t="str">
        <f xml:space="preserve"> "Scottish Borders " &amp;$B$5</f>
        <v>Scottish Borders All time</v>
      </c>
      <c r="B33" s="136">
        <f>VLOOKUP($A33,'Table 5 - Full data'!$A$2:$J$1181,2,FALSE)</f>
        <v>4325</v>
      </c>
      <c r="C33" s="110">
        <f>VLOOKUP($A33,'Table 5 - Full data'!$A$2:$J$181,3,FALSE)</f>
        <v>0.02</v>
      </c>
      <c r="D33" s="134">
        <f>VLOOKUP($A33,'Table 5 - Full data'!$A$2:$J$181,4,FALSE)</f>
        <v>4205</v>
      </c>
      <c r="E33" s="134">
        <f>VLOOKUP($A33,'Table 5 - Full data'!$A$2:$J$181,5,FALSE)</f>
        <v>2995</v>
      </c>
      <c r="F33" s="134">
        <f>VLOOKUP($A33,'Table 5 - Full data'!$A$2:$J$181,6,FALSE)</f>
        <v>1095</v>
      </c>
      <c r="G33" s="134">
        <f>VLOOKUP($A33,'Table 5 - Full data'!$A$2:$J$181,7,FALSE)</f>
        <v>110</v>
      </c>
      <c r="H33" s="110">
        <f>VLOOKUP($A33,'Table 5 - Full data'!$A$2:$J$181,8,FALSE)</f>
        <v>0.71</v>
      </c>
      <c r="I33" s="110">
        <f>VLOOKUP($A33,'Table 5 - Full data'!$A$2:$J$181,9,FALSE)</f>
        <v>0.26</v>
      </c>
      <c r="J33" s="110">
        <f>VLOOKUP($A33,'Table 5 - Full data'!$A$2:$J$181,10,FALSE)</f>
        <v>0.03</v>
      </c>
      <c r="K33" s="26"/>
      <c r="L33" s="26"/>
      <c r="M33" s="26"/>
      <c r="N33" s="26"/>
      <c r="O33" s="26"/>
      <c r="P33" s="26"/>
      <c r="Q33" s="26"/>
    </row>
    <row r="34" spans="1:17" ht="15.5" x14ac:dyDescent="0.35">
      <c r="A34" s="40" t="str">
        <f xml:space="preserve"> "Shetland Islands " &amp;$B$5</f>
        <v>Shetland Islands All time</v>
      </c>
      <c r="B34" s="136">
        <f>VLOOKUP($A34,'Table 5 - Full data'!$A$2:$J$1181,2,FALSE)</f>
        <v>530</v>
      </c>
      <c r="C34" s="110">
        <f>VLOOKUP($A34,'Table 5 - Full data'!$A$2:$J$181,3,FALSE)</f>
        <v>0</v>
      </c>
      <c r="D34" s="134">
        <f>VLOOKUP($A34,'Table 5 - Full data'!$A$2:$J$181,4,FALSE)</f>
        <v>510</v>
      </c>
      <c r="E34" s="134">
        <f>VLOOKUP($A34,'Table 5 - Full data'!$A$2:$J$181,5,FALSE)</f>
        <v>345</v>
      </c>
      <c r="F34" s="134">
        <f>VLOOKUP($A34,'Table 5 - Full data'!$A$2:$J$181,6,FALSE)</f>
        <v>150</v>
      </c>
      <c r="G34" s="134">
        <f>VLOOKUP($A34,'Table 5 - Full data'!$A$2:$J$181,7,FALSE)</f>
        <v>15</v>
      </c>
      <c r="H34" s="110">
        <f>VLOOKUP($A34,'Table 5 - Full data'!$A$2:$J$181,8,FALSE)</f>
        <v>0.67</v>
      </c>
      <c r="I34" s="110">
        <f>VLOOKUP($A34,'Table 5 - Full data'!$A$2:$J$181,9,FALSE)</f>
        <v>0.3</v>
      </c>
      <c r="J34" s="110">
        <f>VLOOKUP($A34,'Table 5 - Full data'!$A$2:$J$181,10,FALSE)</f>
        <v>0.03</v>
      </c>
      <c r="K34" s="26"/>
      <c r="L34" s="26"/>
      <c r="M34" s="26"/>
      <c r="N34" s="26"/>
      <c r="O34" s="26"/>
      <c r="P34" s="26"/>
      <c r="Q34" s="26"/>
    </row>
    <row r="35" spans="1:17" ht="15.5" x14ac:dyDescent="0.35">
      <c r="A35" s="40" t="str">
        <f xml:space="preserve"> "South Ayrshire " &amp;$B$5</f>
        <v>South Ayrshire All time</v>
      </c>
      <c r="B35" s="136">
        <f>VLOOKUP($A35,'Table 5 - Full data'!$A$2:$J$1181,2,FALSE)</f>
        <v>5360</v>
      </c>
      <c r="C35" s="110">
        <f>VLOOKUP($A35,'Table 5 - Full data'!$A$2:$J$181,3,FALSE)</f>
        <v>0.02</v>
      </c>
      <c r="D35" s="134">
        <f>VLOOKUP($A35,'Table 5 - Full data'!$A$2:$J$181,4,FALSE)</f>
        <v>5215</v>
      </c>
      <c r="E35" s="134">
        <f>VLOOKUP($A35,'Table 5 - Full data'!$A$2:$J$181,5,FALSE)</f>
        <v>3670</v>
      </c>
      <c r="F35" s="134">
        <f>VLOOKUP($A35,'Table 5 - Full data'!$A$2:$J$181,6,FALSE)</f>
        <v>1410</v>
      </c>
      <c r="G35" s="134">
        <f>VLOOKUP($A35,'Table 5 - Full data'!$A$2:$J$181,7,FALSE)</f>
        <v>135</v>
      </c>
      <c r="H35" s="110">
        <f>VLOOKUP($A35,'Table 5 - Full data'!$A$2:$J$181,8,FALSE)</f>
        <v>0.7</v>
      </c>
      <c r="I35" s="110">
        <f>VLOOKUP($A35,'Table 5 - Full data'!$A$2:$J$181,9,FALSE)</f>
        <v>0.27</v>
      </c>
      <c r="J35" s="110">
        <f>VLOOKUP($A35,'Table 5 - Full data'!$A$2:$J$181,10,FALSE)</f>
        <v>0.03</v>
      </c>
      <c r="K35" s="26"/>
    </row>
    <row r="36" spans="1:17" ht="15.5" x14ac:dyDescent="0.35">
      <c r="A36" s="40" t="str">
        <f xml:space="preserve"> "South Lanarkshire " &amp;$B$5</f>
        <v>South Lanarkshire All time</v>
      </c>
      <c r="B36" s="136">
        <f>VLOOKUP($A36,'Table 5 - Full data'!$A$2:$J$1181,2,FALSE)</f>
        <v>16055</v>
      </c>
      <c r="C36" s="110">
        <f>VLOOKUP($A36,'Table 5 - Full data'!$A$2:$J$181,3,FALSE)</f>
        <v>0.06</v>
      </c>
      <c r="D36" s="134">
        <f>VLOOKUP($A36,'Table 5 - Full data'!$A$2:$J$181,4,FALSE)</f>
        <v>15610</v>
      </c>
      <c r="E36" s="134">
        <f>VLOOKUP($A36,'Table 5 - Full data'!$A$2:$J$181,5,FALSE)</f>
        <v>10865</v>
      </c>
      <c r="F36" s="134">
        <f>VLOOKUP($A36,'Table 5 - Full data'!$A$2:$J$181,6,FALSE)</f>
        <v>4270</v>
      </c>
      <c r="G36" s="134">
        <f>VLOOKUP($A36,'Table 5 - Full data'!$A$2:$J$181,7,FALSE)</f>
        <v>470</v>
      </c>
      <c r="H36" s="110">
        <f>VLOOKUP($A36,'Table 5 - Full data'!$A$2:$J$181,8,FALSE)</f>
        <v>0.7</v>
      </c>
      <c r="I36" s="110">
        <f>VLOOKUP($A36,'Table 5 - Full data'!$A$2:$J$181,9,FALSE)</f>
        <v>0.27</v>
      </c>
      <c r="J36" s="110">
        <f>VLOOKUP($A36,'Table 5 - Full data'!$A$2:$J$181,10,FALSE)</f>
        <v>0.03</v>
      </c>
      <c r="K36" s="26"/>
    </row>
    <row r="37" spans="1:17" ht="15.5" x14ac:dyDescent="0.35">
      <c r="A37" s="40" t="str">
        <f xml:space="preserve"> "Stirling " &amp;$B$5</f>
        <v>Stirling All time</v>
      </c>
      <c r="B37" s="136">
        <f>VLOOKUP($A37,'Table 5 - Full data'!$A$2:$J$1181,2,FALSE)</f>
        <v>3000</v>
      </c>
      <c r="C37" s="110">
        <f>VLOOKUP($A37,'Table 5 - Full data'!$A$2:$J$181,3,FALSE)</f>
        <v>0.01</v>
      </c>
      <c r="D37" s="134">
        <f>VLOOKUP($A37,'Table 5 - Full data'!$A$2:$J$181,4,FALSE)</f>
        <v>2910</v>
      </c>
      <c r="E37" s="134">
        <f>VLOOKUP($A37,'Table 5 - Full data'!$A$2:$J$181,5,FALSE)</f>
        <v>2070</v>
      </c>
      <c r="F37" s="134">
        <f>VLOOKUP($A37,'Table 5 - Full data'!$A$2:$J$181,6,FALSE)</f>
        <v>760</v>
      </c>
      <c r="G37" s="134">
        <f>VLOOKUP($A37,'Table 5 - Full data'!$A$2:$J$181,7,FALSE)</f>
        <v>75</v>
      </c>
      <c r="H37" s="110">
        <f>VLOOKUP($A37,'Table 5 - Full data'!$A$2:$J$181,8,FALSE)</f>
        <v>0.71</v>
      </c>
      <c r="I37" s="110">
        <f>VLOOKUP($A37,'Table 5 - Full data'!$A$2:$J$181,9,FALSE)</f>
        <v>0.26</v>
      </c>
      <c r="J37" s="110">
        <f>VLOOKUP($A37,'Table 5 - Full data'!$A$2:$J$181,10,FALSE)</f>
        <v>0.03</v>
      </c>
      <c r="K37" s="26"/>
    </row>
    <row r="38" spans="1:17" ht="15.5" x14ac:dyDescent="0.35">
      <c r="A38" s="40" t="str">
        <f xml:space="preserve"> "West Dunbartonshire " &amp;$B$5</f>
        <v>West Dunbartonshire All time</v>
      </c>
      <c r="B38" s="136">
        <f>VLOOKUP($A38,'Table 5 - Full data'!$A$2:$J$1181,2,FALSE)</f>
        <v>6535</v>
      </c>
      <c r="C38" s="110">
        <f>VLOOKUP($A38,'Table 5 - Full data'!$A$2:$J$181,3,FALSE)</f>
        <v>0.02</v>
      </c>
      <c r="D38" s="134">
        <f>VLOOKUP($A38,'Table 5 - Full data'!$A$2:$J$181,4,FALSE)</f>
        <v>6380</v>
      </c>
      <c r="E38" s="134">
        <f>VLOOKUP($A38,'Table 5 - Full data'!$A$2:$J$181,5,FALSE)</f>
        <v>4405</v>
      </c>
      <c r="F38" s="134">
        <f>VLOOKUP($A38,'Table 5 - Full data'!$A$2:$J$181,6,FALSE)</f>
        <v>1785</v>
      </c>
      <c r="G38" s="134">
        <f>VLOOKUP($A38,'Table 5 - Full data'!$A$2:$J$181,7,FALSE)</f>
        <v>190</v>
      </c>
      <c r="H38" s="110">
        <f>VLOOKUP($A38,'Table 5 - Full data'!$A$2:$J$181,8,FALSE)</f>
        <v>0.69</v>
      </c>
      <c r="I38" s="110">
        <f>VLOOKUP($A38,'Table 5 - Full data'!$A$2:$J$181,9,FALSE)</f>
        <v>0.28000000000000003</v>
      </c>
      <c r="J38" s="110">
        <f>VLOOKUP($A38,'Table 5 - Full data'!$A$2:$J$181,10,FALSE)</f>
        <v>0.03</v>
      </c>
      <c r="K38" s="26"/>
    </row>
    <row r="39" spans="1:17" ht="15.5" x14ac:dyDescent="0.35">
      <c r="A39" s="40" t="str">
        <f xml:space="preserve"> "West Lothian " &amp;$B$5</f>
        <v>West Lothian All time</v>
      </c>
      <c r="B39" s="136">
        <f>VLOOKUP($A39,'Table 5 - Full data'!$A$2:$J$1181,2,FALSE)</f>
        <v>10325</v>
      </c>
      <c r="C39" s="110">
        <f>VLOOKUP($A39,'Table 5 - Full data'!$A$2:$J$181,3,FALSE)</f>
        <v>0.04</v>
      </c>
      <c r="D39" s="134">
        <f>VLOOKUP($A39,'Table 5 - Full data'!$A$2:$J$181,4,FALSE)</f>
        <v>10035</v>
      </c>
      <c r="E39" s="134">
        <f>VLOOKUP($A39,'Table 5 - Full data'!$A$2:$J$181,5,FALSE)</f>
        <v>6890</v>
      </c>
      <c r="F39" s="134">
        <f>VLOOKUP($A39,'Table 5 - Full data'!$A$2:$J$181,6,FALSE)</f>
        <v>2825</v>
      </c>
      <c r="G39" s="134">
        <f>VLOOKUP($A39,'Table 5 - Full data'!$A$2:$J$181,7,FALSE)</f>
        <v>320</v>
      </c>
      <c r="H39" s="110">
        <f>VLOOKUP($A39,'Table 5 - Full data'!$A$2:$J$181,8,FALSE)</f>
        <v>0.69</v>
      </c>
      <c r="I39" s="110">
        <f>VLOOKUP($A39,'Table 5 - Full data'!$A$2:$J$181,9,FALSE)</f>
        <v>0.28000000000000003</v>
      </c>
      <c r="J39" s="110">
        <f>VLOOKUP($A39,'Table 5 - Full data'!$A$2:$J$181,10,FALSE)</f>
        <v>0.03</v>
      </c>
      <c r="K39" s="26"/>
    </row>
    <row r="40" spans="1:17" ht="15.5" x14ac:dyDescent="0.35">
      <c r="A40" s="154" t="str">
        <f xml:space="preserve"> "Unknown - Scottish address " &amp;$B$5</f>
        <v>Unknown - Scottish address All time</v>
      </c>
      <c r="B40" s="136">
        <f>VLOOKUP($A40,'Table 5 - Full data'!$A$2:$J$1181,2,FALSE)</f>
        <v>295</v>
      </c>
      <c r="C40" s="110">
        <f>VLOOKUP($A40,'Table 5 - Full data'!$A$2:$J$181,3,FALSE)</f>
        <v>0</v>
      </c>
      <c r="D40" s="134">
        <f>VLOOKUP($A40,'Table 5 - Full data'!$A$2:$J$181,4,FALSE)</f>
        <v>285</v>
      </c>
      <c r="E40" s="134">
        <f>VLOOKUP($A40,'Table 5 - Full data'!$A$2:$J$181,5,FALSE)</f>
        <v>205</v>
      </c>
      <c r="F40" s="134">
        <f>VLOOKUP($A40,'Table 5 - Full data'!$A$2:$J$181,6,FALSE)</f>
        <v>70</v>
      </c>
      <c r="G40" s="134">
        <f>VLOOKUP($A40,'Table 5 - Full data'!$A$2:$J$181,7,FALSE)</f>
        <v>10</v>
      </c>
      <c r="H40" s="110">
        <f>VLOOKUP($A40,'Table 5 - Full data'!$A$2:$J$181,8,FALSE)</f>
        <v>0.72</v>
      </c>
      <c r="I40" s="110">
        <f>VLOOKUP($A40,'Table 5 - Full data'!$A$2:$J$181,9,FALSE)</f>
        <v>0.24</v>
      </c>
      <c r="J40" s="110">
        <f>VLOOKUP($A40,'Table 5 - Full data'!$A$2:$J$181,10,FALSE)</f>
        <v>0.04</v>
      </c>
      <c r="K40" s="26"/>
    </row>
    <row r="41" spans="1:17" ht="15.5" x14ac:dyDescent="0.35">
      <c r="A41" s="154" t="str">
        <f xml:space="preserve"> "Non-Scottish postcode " &amp;$B$5</f>
        <v>Non-Scottish postcode All time</v>
      </c>
      <c r="B41" s="136">
        <f>VLOOKUP($A41,'Table 5 - Full data'!$A$2:$J$1181,2,FALSE)</f>
        <v>10025</v>
      </c>
      <c r="C41" s="110">
        <f>VLOOKUP($A41,'Table 5 - Full data'!$A$2:$J$181,3,FALSE)</f>
        <v>0.04</v>
      </c>
      <c r="D41" s="134">
        <f>VLOOKUP($A41,'Table 5 - Full data'!$A$2:$J$181,4,FALSE)</f>
        <v>10005</v>
      </c>
      <c r="E41" s="134">
        <f>VLOOKUP($A41,'Table 5 - Full data'!$A$2:$J$181,5,FALSE)</f>
        <v>140</v>
      </c>
      <c r="F41" s="134">
        <f>VLOOKUP($A41,'Table 5 - Full data'!$A$2:$J$181,6,FALSE)</f>
        <v>9750</v>
      </c>
      <c r="G41" s="134">
        <f>VLOOKUP($A41,'Table 5 - Full data'!$A$2:$J$181,7,FALSE)</f>
        <v>115</v>
      </c>
      <c r="H41" s="110">
        <f>VLOOKUP($A41,'Table 5 - Full data'!$A$2:$J$181,8,FALSE)</f>
        <v>0.01</v>
      </c>
      <c r="I41" s="110">
        <f>VLOOKUP($A41,'Table 5 - Full data'!$A$2:$J$181,9,FALSE)</f>
        <v>0.97</v>
      </c>
      <c r="J41" s="110">
        <f>VLOOKUP($A41,'Table 5 - Full data'!$A$2:$J$181,10,FALSE)</f>
        <v>0.01</v>
      </c>
      <c r="K41" s="26"/>
    </row>
    <row r="42" spans="1:17" ht="15.5" x14ac:dyDescent="0.35">
      <c r="A42" s="154" t="str">
        <f xml:space="preserve"> "No address " &amp;$B$5</f>
        <v>No address All time</v>
      </c>
      <c r="B42" s="136">
        <f>VLOOKUP($A42,'Table 5 - Full data'!$A$2:$J$1181,2,FALSE)</f>
        <v>440</v>
      </c>
      <c r="C42" s="110">
        <f>VLOOKUP($A42,'Table 5 - Full data'!$A$2:$J$181,3,FALSE)</f>
        <v>0</v>
      </c>
      <c r="D42" s="134">
        <f>VLOOKUP($A42,'Table 5 - Full data'!$A$2:$J$181,4,FALSE)</f>
        <v>235</v>
      </c>
      <c r="E42" s="134">
        <f>VLOOKUP($A42,'Table 5 - Full data'!$A$2:$J$181,5,FALSE)</f>
        <v>5</v>
      </c>
      <c r="F42" s="134">
        <f>VLOOKUP($A42,'Table 5 - Full data'!$A$2:$J$181,6,FALSE)</f>
        <v>5</v>
      </c>
      <c r="G42" s="134">
        <f>VLOOKUP($A42,'Table 5 - Full data'!$A$2:$J$181,7,FALSE)</f>
        <v>225</v>
      </c>
      <c r="H42" s="110">
        <f>VLOOKUP($A42,'Table 5 - Full data'!$A$2:$J$181,8,FALSE)</f>
        <v>0.03</v>
      </c>
      <c r="I42" s="110">
        <f>VLOOKUP($A42,'Table 5 - Full data'!$A$2:$J$181,9,FALSE)</f>
        <v>0.02</v>
      </c>
      <c r="J42" s="110">
        <f>VLOOKUP($A42,'Table 5 - Full data'!$A$2:$J$181,10,FALSE)</f>
        <v>0.95</v>
      </c>
      <c r="K42" s="26"/>
    </row>
    <row r="43" spans="1:17" ht="26.5" customHeight="1" x14ac:dyDescent="0.35">
      <c r="A43" s="63" t="s">
        <v>9</v>
      </c>
      <c r="B43" s="64"/>
      <c r="C43" s="63"/>
      <c r="D43" s="63"/>
      <c r="E43" s="63"/>
      <c r="F43" s="63"/>
      <c r="G43" s="63"/>
      <c r="H43" s="65"/>
      <c r="I43" s="63"/>
      <c r="J43" s="63"/>
      <c r="K43" s="26"/>
    </row>
    <row r="44" spans="1:17" ht="15.5" x14ac:dyDescent="0.35">
      <c r="A44" s="63" t="s">
        <v>648</v>
      </c>
      <c r="B44" s="63"/>
      <c r="C44" s="63"/>
      <c r="D44" s="63"/>
      <c r="E44" s="63"/>
      <c r="F44" s="63"/>
      <c r="G44" s="63"/>
      <c r="H44" s="63"/>
      <c r="I44" s="63"/>
      <c r="J44" s="63"/>
      <c r="K44" s="26"/>
    </row>
    <row r="45" spans="1:17" ht="15.5" x14ac:dyDescent="0.35">
      <c r="A45" s="44" t="s">
        <v>633</v>
      </c>
      <c r="B45" s="44"/>
      <c r="C45" s="44"/>
      <c r="D45" s="44"/>
      <c r="E45" s="44"/>
      <c r="F45" s="44"/>
      <c r="G45" s="44"/>
      <c r="H45" s="44"/>
      <c r="I45" s="44"/>
      <c r="J45" s="44"/>
      <c r="K45" s="44"/>
      <c r="L45" s="44"/>
      <c r="M45" s="10"/>
    </row>
    <row r="46" spans="1:17" ht="15.5" x14ac:dyDescent="0.35">
      <c r="A46" s="44" t="s">
        <v>634</v>
      </c>
      <c r="B46" s="44"/>
      <c r="C46" s="44"/>
      <c r="D46" s="44"/>
      <c r="E46" s="44"/>
      <c r="F46" s="44"/>
      <c r="G46" s="44"/>
      <c r="H46" s="44"/>
      <c r="I46" s="44"/>
      <c r="J46" s="44"/>
      <c r="K46" s="44"/>
      <c r="L46" s="44"/>
      <c r="M46" s="10"/>
    </row>
    <row r="47" spans="1:17" ht="15.5" x14ac:dyDescent="0.35">
      <c r="A47" s="45" t="s">
        <v>649</v>
      </c>
      <c r="B47" s="44"/>
      <c r="C47" s="44"/>
      <c r="D47" s="44"/>
      <c r="E47" s="44"/>
      <c r="F47" s="44"/>
      <c r="G47" s="44"/>
      <c r="H47" s="44"/>
      <c r="I47" s="44"/>
      <c r="J47" s="44"/>
      <c r="K47" s="44"/>
      <c r="L47" s="44"/>
      <c r="M47" s="10"/>
    </row>
    <row r="48" spans="1:17" ht="15.5" x14ac:dyDescent="0.35">
      <c r="A48" s="45" t="s">
        <v>635</v>
      </c>
      <c r="B48" s="44"/>
      <c r="C48" s="44"/>
      <c r="D48" s="44"/>
      <c r="E48" s="44"/>
      <c r="F48" s="44"/>
      <c r="G48" s="44"/>
      <c r="H48" s="44"/>
      <c r="I48" s="44"/>
      <c r="J48" s="44"/>
      <c r="K48" s="44"/>
      <c r="L48" s="44"/>
      <c r="M48" s="10"/>
    </row>
    <row r="49" spans="1:11" s="59" customFormat="1" ht="138.65" customHeight="1" x14ac:dyDescent="0.35">
      <c r="A49" s="128" t="s">
        <v>658</v>
      </c>
      <c r="B49" s="44"/>
      <c r="C49" s="44"/>
      <c r="D49" s="44"/>
      <c r="E49" s="44"/>
      <c r="F49" s="44"/>
      <c r="G49" s="44"/>
      <c r="H49" s="44"/>
      <c r="I49" s="44"/>
      <c r="J49" s="44"/>
      <c r="K49" s="45"/>
    </row>
    <row r="50" spans="1:11" ht="139" customHeight="1" x14ac:dyDescent="0.35">
      <c r="A50" s="43" t="s">
        <v>665</v>
      </c>
      <c r="B50" s="43"/>
      <c r="C50" s="43"/>
      <c r="D50" s="43"/>
      <c r="E50" s="43"/>
      <c r="F50" s="43"/>
      <c r="G50" s="43"/>
      <c r="H50" s="43"/>
      <c r="I50" s="43"/>
      <c r="J50" s="43"/>
      <c r="K50" s="26"/>
    </row>
    <row r="51" spans="1:11" ht="15.5" x14ac:dyDescent="0.35">
      <c r="A51" s="41" t="s">
        <v>660</v>
      </c>
      <c r="B51" s="41"/>
      <c r="C51" s="41"/>
      <c r="D51" s="41"/>
      <c r="E51" s="41"/>
      <c r="F51" s="41"/>
      <c r="G51" s="41"/>
      <c r="H51" s="41"/>
      <c r="I51" s="41"/>
      <c r="J51" s="41"/>
      <c r="K51" s="26"/>
    </row>
    <row r="52" spans="1:11" ht="15.5" x14ac:dyDescent="0.35">
      <c r="A52" s="41" t="s">
        <v>661</v>
      </c>
      <c r="B52" s="41"/>
      <c r="C52" s="41"/>
      <c r="D52" s="41"/>
      <c r="E52" s="41"/>
      <c r="F52" s="41"/>
      <c r="G52" s="41"/>
      <c r="H52" s="41"/>
      <c r="I52" s="41"/>
      <c r="J52" s="41"/>
      <c r="K52" s="26"/>
    </row>
    <row r="53" spans="1:11" ht="15.5" x14ac:dyDescent="0.35">
      <c r="A53" s="26" t="s">
        <v>662</v>
      </c>
      <c r="B53" s="41"/>
      <c r="C53" s="41"/>
      <c r="D53" s="41"/>
      <c r="E53" s="41"/>
      <c r="F53" s="41"/>
      <c r="G53" s="41"/>
      <c r="H53" s="41"/>
      <c r="I53" s="41"/>
      <c r="J53" s="41"/>
      <c r="K53" s="26"/>
    </row>
    <row r="54" spans="1:11" ht="15.5" x14ac:dyDescent="0.35">
      <c r="A54" s="26" t="s">
        <v>663</v>
      </c>
      <c r="B54" s="26"/>
      <c r="C54" s="26"/>
      <c r="D54" s="26"/>
      <c r="E54" s="26"/>
      <c r="F54" s="26"/>
      <c r="G54" s="26"/>
      <c r="H54" s="26"/>
      <c r="I54" s="26"/>
      <c r="J54" s="26"/>
      <c r="K54" s="26"/>
    </row>
    <row r="55" spans="1:11" ht="15.5" x14ac:dyDescent="0.35">
      <c r="A55" s="26" t="s">
        <v>664</v>
      </c>
      <c r="B55" s="26"/>
      <c r="C55" s="26"/>
      <c r="D55" s="26"/>
      <c r="E55" s="26"/>
      <c r="F55" s="26"/>
      <c r="G55" s="26"/>
      <c r="H55" s="26"/>
      <c r="I55" s="26"/>
      <c r="J55" s="26"/>
      <c r="K55" s="26"/>
    </row>
    <row r="56" spans="1:11" ht="15.5" x14ac:dyDescent="0.35">
      <c r="A56" s="41" t="s">
        <v>8</v>
      </c>
      <c r="B56" s="26"/>
      <c r="C56" s="26"/>
      <c r="D56" s="26"/>
      <c r="E56" s="26"/>
      <c r="F56" s="26"/>
      <c r="G56" s="26"/>
      <c r="H56" s="26"/>
      <c r="I56" s="26"/>
      <c r="J56" s="26"/>
      <c r="K56" s="26"/>
    </row>
    <row r="57" spans="1:11" ht="15.5" x14ac:dyDescent="0.35">
      <c r="A57" s="26"/>
      <c r="B57" s="26"/>
      <c r="C57" s="26"/>
      <c r="D57" s="26"/>
      <c r="E57" s="26"/>
      <c r="F57" s="26"/>
      <c r="G57" s="26"/>
      <c r="H57" s="26"/>
      <c r="I57" s="26"/>
      <c r="J57" s="26"/>
    </row>
    <row r="58" spans="1:11" ht="15.5" x14ac:dyDescent="0.35">
      <c r="A58" s="26"/>
      <c r="B58" s="26"/>
      <c r="C58" s="26"/>
      <c r="D58" s="26"/>
      <c r="E58" s="26"/>
      <c r="F58" s="26"/>
      <c r="G58" s="26"/>
      <c r="H58" s="26"/>
      <c r="I58" s="26"/>
      <c r="J58" s="26"/>
    </row>
    <row r="59" spans="1:11" ht="15.5" x14ac:dyDescent="0.35">
      <c r="A59" s="173"/>
      <c r="B59" s="26"/>
      <c r="C59" s="26"/>
      <c r="D59" s="26"/>
      <c r="E59" s="26"/>
      <c r="F59" s="26"/>
      <c r="G59" s="26"/>
      <c r="H59" s="26"/>
      <c r="I59" s="26"/>
      <c r="J59" s="26"/>
    </row>
    <row r="60" spans="1:11" ht="15.5" x14ac:dyDescent="0.35">
      <c r="A60" s="36"/>
      <c r="B60" s="26"/>
      <c r="C60" s="26"/>
      <c r="D60" s="26"/>
      <c r="E60" s="26"/>
      <c r="F60" s="26"/>
      <c r="G60" s="26"/>
      <c r="H60" s="26"/>
      <c r="I60" s="26"/>
      <c r="J60" s="26"/>
    </row>
    <row r="61" spans="1:11" ht="15.5" x14ac:dyDescent="0.35">
      <c r="A61" s="36"/>
      <c r="B61" s="26"/>
      <c r="C61" s="26"/>
      <c r="D61" s="26"/>
      <c r="E61" s="26"/>
      <c r="F61" s="26"/>
      <c r="G61" s="26"/>
      <c r="H61" s="26"/>
      <c r="I61" s="26"/>
      <c r="J61" s="26"/>
    </row>
    <row r="62" spans="1:11" ht="15.5" x14ac:dyDescent="0.35">
      <c r="A62" s="36"/>
    </row>
    <row r="63" spans="1:11" ht="15.5" x14ac:dyDescent="0.35">
      <c r="A63" s="173"/>
    </row>
  </sheetData>
  <mergeCells count="2">
    <mergeCell ref="Y5:Z5"/>
    <mergeCell ref="AA5:AG5"/>
  </mergeCells>
  <conditionalFormatting sqref="AE8:AG19">
    <cfRule type="dataBar" priority="4">
      <dataBar>
        <cfvo type="num" val="0"/>
        <cfvo type="num" val="1"/>
        <color theme="4" tint="-0.249977111117893"/>
      </dataBar>
      <extLst>
        <ext xmlns:x14="http://schemas.microsoft.com/office/spreadsheetml/2009/9/main" uri="{B025F937-C7B1-47D3-B67F-A62EFF666E3E}">
          <x14:id>{12904AE8-2FA9-4305-A30F-A8A2B3CBDC6C}</x14:id>
        </ext>
      </extLst>
    </cfRule>
  </conditionalFormatting>
  <conditionalFormatting sqref="Z8:Z19">
    <cfRule type="dataBar" priority="3">
      <dataBar>
        <cfvo type="num" val="0"/>
        <cfvo type="num" val="1"/>
        <color theme="4" tint="-0.249977111117893"/>
      </dataBar>
      <extLst>
        <ext xmlns:x14="http://schemas.microsoft.com/office/spreadsheetml/2009/9/main" uri="{B025F937-C7B1-47D3-B67F-A62EFF666E3E}">
          <x14:id>{FFE4280B-C258-4B70-A809-71479599485E}</x14:id>
        </ext>
      </extLst>
    </cfRule>
  </conditionalFormatting>
  <conditionalFormatting sqref="H7:J42 C7:C42">
    <cfRule type="dataBar" priority="2">
      <dataBar>
        <cfvo type="num" val="0"/>
        <cfvo type="num" val="1"/>
        <color rgb="FFB4A9D4"/>
      </dataBar>
      <extLst>
        <ext xmlns:x14="http://schemas.microsoft.com/office/spreadsheetml/2009/9/main" uri="{B025F937-C7B1-47D3-B67F-A62EFF666E3E}">
          <x14:id>{4FA5049F-E299-43AB-87D7-DC8FD45AF860}</x14:id>
        </ext>
      </extLst>
    </cfRule>
  </conditionalFormatting>
  <conditionalFormatting sqref="M45:M48">
    <cfRule type="dataBar" priority="1">
      <dataBar>
        <cfvo type="min"/>
        <cfvo type="max"/>
        <color rgb="FF638EC6"/>
      </dataBar>
      <extLst>
        <ext xmlns:x14="http://schemas.microsoft.com/office/spreadsheetml/2009/9/main" uri="{B025F937-C7B1-47D3-B67F-A62EFF666E3E}">
          <x14:id>{2F46C3AA-08AE-4952-82C8-AD0935F5EB9F}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2904AE8-2FA9-4305-A30F-A8A2B3CBDC6C}">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FFE4280B-C258-4B70-A809-71479599485E}">
            <x14:dataBar minLength="0" maxLength="100" border="1">
              <x14:cfvo type="num">
                <xm:f>0</xm:f>
              </x14:cfvo>
              <x14:cfvo type="num">
                <xm:f>1</xm:f>
              </x14:cfvo>
              <x14:borderColor theme="8" tint="0.39997558519241921"/>
              <x14:negativeFillColor rgb="FFFF0000"/>
              <x14:axisColor rgb="FF000000"/>
            </x14:dataBar>
          </x14:cfRule>
          <xm:sqref>Z8:Z19</xm:sqref>
        </x14:conditionalFormatting>
        <x14:conditionalFormatting xmlns:xm="http://schemas.microsoft.com/office/excel/2006/main">
          <x14:cfRule type="dataBar" id="{4FA5049F-E299-43AB-87D7-DC8FD45AF860}">
            <x14:dataBar minLength="0" maxLength="100" gradient="0">
              <x14:cfvo type="num">
                <xm:f>0</xm:f>
              </x14:cfvo>
              <x14:cfvo type="num">
                <xm:f>1</xm:f>
              </x14:cfvo>
              <x14:negativeFillColor rgb="FFFF0000"/>
              <x14:axisColor rgb="FF000000"/>
            </x14:dataBar>
          </x14:cfRule>
          <xm:sqref>H7:J42 C7:C42</xm:sqref>
        </x14:conditionalFormatting>
        <x14:conditionalFormatting xmlns:xm="http://schemas.microsoft.com/office/excel/2006/main">
          <x14:cfRule type="dataBar" id="{2F46C3AA-08AE-4952-82C8-AD0935F5EB9F}">
            <x14:dataBar minLength="0" maxLength="100" border="1" negativeBarBorderColorSameAsPositive="0">
              <x14:cfvo type="autoMin"/>
              <x14:cfvo type="autoMax"/>
              <x14:borderColor rgb="FF638EC6"/>
              <x14:negativeFillColor rgb="FFFF0000"/>
              <x14:negativeBorderColor rgb="FFFF0000"/>
              <x14:axisColor rgb="FF000000"/>
            </x14:dataBar>
          </x14:cfRule>
          <xm:sqref>M45:M48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66"/>
  <sheetViews>
    <sheetView zoomScale="75" zoomScaleNormal="75" workbookViewId="0"/>
  </sheetViews>
  <sheetFormatPr defaultRowHeight="14.5" x14ac:dyDescent="0.35"/>
  <cols>
    <col min="1" max="1" width="40.81640625" customWidth="1"/>
    <col min="2" max="8" width="19.54296875" customWidth="1"/>
    <col min="9" max="13" width="23" customWidth="1"/>
  </cols>
  <sheetData>
    <row r="1" spans="1:27" ht="21" x14ac:dyDescent="0.5">
      <c r="A1" s="20" t="s">
        <v>48</v>
      </c>
      <c r="B1" s="20"/>
      <c r="C1" s="20"/>
      <c r="D1" s="20"/>
      <c r="E1" s="20"/>
      <c r="F1" s="20"/>
      <c r="G1" s="20"/>
      <c r="H1" s="22"/>
      <c r="I1" s="22"/>
      <c r="J1" s="22"/>
    </row>
    <row r="2" spans="1:27" s="8" customFormat="1" ht="15" customHeight="1" x14ac:dyDescent="0.35">
      <c r="A2" s="36" t="s">
        <v>767</v>
      </c>
      <c r="B2" s="62"/>
      <c r="C2" s="62"/>
      <c r="D2" s="62"/>
      <c r="E2" s="62"/>
      <c r="F2" s="62"/>
      <c r="G2" s="62"/>
      <c r="H2" s="28"/>
      <c r="I2" s="28"/>
      <c r="J2" s="28"/>
      <c r="K2" s="69"/>
      <c r="L2" s="69"/>
      <c r="M2" s="69"/>
      <c r="N2" s="69"/>
      <c r="O2" s="69"/>
      <c r="P2" s="69"/>
      <c r="Q2" s="69"/>
      <c r="R2" s="69"/>
      <c r="S2" s="69"/>
      <c r="T2" s="69"/>
      <c r="U2" s="69"/>
      <c r="V2" s="69"/>
      <c r="W2" s="69"/>
      <c r="X2" s="69"/>
      <c r="Y2" s="69"/>
      <c r="Z2" s="69"/>
      <c r="AA2" s="69"/>
    </row>
    <row r="3" spans="1:27" s="8" customFormat="1" ht="18" customHeight="1" x14ac:dyDescent="0.35">
      <c r="A3" s="25" t="s">
        <v>771</v>
      </c>
      <c r="B3" s="62"/>
      <c r="C3" s="62"/>
      <c r="D3" s="62"/>
      <c r="E3" s="62"/>
      <c r="F3" s="62"/>
      <c r="G3" s="62"/>
      <c r="H3" s="28"/>
      <c r="I3" s="28"/>
      <c r="J3" s="28"/>
      <c r="K3" s="69"/>
      <c r="L3" s="69"/>
      <c r="M3" s="69"/>
      <c r="N3" s="69"/>
      <c r="O3" s="69"/>
      <c r="P3" s="69"/>
      <c r="Q3" s="69"/>
      <c r="R3" s="69"/>
      <c r="S3" s="69"/>
      <c r="T3" s="69"/>
      <c r="U3" s="69"/>
      <c r="V3" s="69"/>
      <c r="W3" s="69"/>
      <c r="X3" s="69"/>
      <c r="Y3" s="69"/>
      <c r="Z3" s="69"/>
      <c r="AA3" s="69"/>
    </row>
    <row r="4" spans="1:27" ht="16" customHeight="1" x14ac:dyDescent="0.35">
      <c r="A4" s="25" t="s">
        <v>482</v>
      </c>
      <c r="B4" s="62"/>
      <c r="C4" s="62"/>
      <c r="D4" s="62"/>
      <c r="E4" s="62"/>
      <c r="F4" s="62"/>
      <c r="G4" s="62"/>
      <c r="H4" s="28"/>
      <c r="I4" s="28"/>
      <c r="J4" s="28"/>
      <c r="K4" s="26"/>
      <c r="L4" s="26"/>
      <c r="M4" s="26"/>
      <c r="N4" s="26"/>
      <c r="O4" s="26"/>
      <c r="P4" s="26"/>
      <c r="Q4" s="26"/>
      <c r="R4" s="26"/>
      <c r="S4" s="26"/>
      <c r="T4" s="26"/>
      <c r="U4" s="26"/>
      <c r="V4" s="26"/>
      <c r="W4" s="26"/>
      <c r="X4" s="26"/>
      <c r="Y4" s="26"/>
      <c r="Z4" s="26"/>
      <c r="AA4" s="26"/>
    </row>
    <row r="5" spans="1:27" ht="31" x14ac:dyDescent="0.35">
      <c r="A5" s="198" t="s">
        <v>750</v>
      </c>
      <c r="B5" s="197" t="s">
        <v>241</v>
      </c>
      <c r="C5" s="60"/>
      <c r="D5" s="26"/>
      <c r="E5" s="26"/>
      <c r="F5" s="26"/>
      <c r="G5" s="26"/>
      <c r="H5" s="26"/>
      <c r="I5" s="26"/>
      <c r="J5" s="26"/>
      <c r="K5" s="26"/>
      <c r="L5" s="26"/>
      <c r="M5" s="26"/>
      <c r="N5" s="26"/>
      <c r="O5" s="26"/>
      <c r="P5" s="26"/>
      <c r="Q5" s="26"/>
      <c r="R5" s="26"/>
      <c r="S5" s="26"/>
      <c r="T5" s="26"/>
      <c r="U5" s="26"/>
      <c r="V5" s="26"/>
      <c r="W5" s="26"/>
      <c r="X5" s="26"/>
      <c r="Y5" s="26"/>
      <c r="Z5" s="26"/>
      <c r="AA5" s="26"/>
    </row>
    <row r="6" spans="1:27" ht="77.5" x14ac:dyDescent="0.35">
      <c r="A6" s="67" t="s">
        <v>659</v>
      </c>
      <c r="B6" s="31" t="s">
        <v>667</v>
      </c>
      <c r="C6" s="31" t="s">
        <v>342</v>
      </c>
      <c r="D6" s="31" t="s">
        <v>671</v>
      </c>
      <c r="E6" s="31" t="s">
        <v>672</v>
      </c>
      <c r="F6" s="31" t="s">
        <v>673</v>
      </c>
      <c r="G6" s="31" t="s">
        <v>681</v>
      </c>
      <c r="H6" s="31" t="s">
        <v>757</v>
      </c>
      <c r="I6" s="31" t="s">
        <v>674</v>
      </c>
      <c r="J6" s="68" t="s">
        <v>675</v>
      </c>
      <c r="K6" s="68" t="s">
        <v>676</v>
      </c>
      <c r="L6" s="68" t="s">
        <v>758</v>
      </c>
      <c r="M6" s="68" t="s">
        <v>677</v>
      </c>
      <c r="N6" s="67"/>
      <c r="O6" s="26"/>
      <c r="P6" s="26"/>
      <c r="Q6" s="26"/>
      <c r="R6" s="26"/>
      <c r="S6" s="26"/>
      <c r="T6" s="26"/>
      <c r="U6" s="26"/>
      <c r="V6" s="26"/>
      <c r="W6" s="26"/>
      <c r="X6" s="26"/>
      <c r="Y6" s="26"/>
      <c r="Z6" s="26"/>
      <c r="AA6" s="26"/>
    </row>
    <row r="7" spans="1:27" ht="15.5" x14ac:dyDescent="0.35">
      <c r="A7" s="155" t="str">
        <f xml:space="preserve"> "Total " &amp;$B$5</f>
        <v>Total All time</v>
      </c>
      <c r="B7" s="189">
        <f>VLOOKUP($A7, 'Table 6 - Full data'!$A$2:$M$181,2,FALSE)</f>
        <v>276250</v>
      </c>
      <c r="C7" s="114">
        <f>VLOOKUP($A7, 'Table 6 - Full data'!$A$2:$M$181,3,FALSE)</f>
        <v>1</v>
      </c>
      <c r="D7" s="166">
        <f>VLOOKUP($A7, 'Table 6 - Full data'!$A$2:$M$181,4,FALSE)</f>
        <v>92810</v>
      </c>
      <c r="E7" s="166">
        <f>VLOOKUP($A7, 'Table 6 - Full data'!$A$2:$M$181,5,FALSE)</f>
        <v>91340</v>
      </c>
      <c r="F7" s="166">
        <f>VLOOKUP($A7, 'Table 6 - Full data'!$A$2:$M$181,6,FALSE)</f>
        <v>60435</v>
      </c>
      <c r="G7" s="166">
        <f>VLOOKUP($A7, 'Table 6 - Full data'!$A$2:$M$181,7,FALSE)</f>
        <v>139785</v>
      </c>
      <c r="H7" s="129">
        <f>VLOOKUP($A7, 'Table 6 - Full data'!$A$2:$M$181,8,FALSE)</f>
        <v>32700</v>
      </c>
      <c r="I7" s="115">
        <f>VLOOKUP($A7, 'Table 6 - Full data'!$A$2:$M$181,9,FALSE)</f>
        <v>0.34</v>
      </c>
      <c r="J7" s="115">
        <f>VLOOKUP($A7, 'Table 6 - Full data'!$A$2:$M$181,10,FALSE)</f>
        <v>0.33</v>
      </c>
      <c r="K7" s="115">
        <f>VLOOKUP($A7, 'Table 6 - Full data'!$A$2:$M$181,11,FALSE)</f>
        <v>0.22</v>
      </c>
      <c r="L7" s="115">
        <f>VLOOKUP($A7, 'Table 6 - Full data'!$A$2:$M$181,12,FALSE)</f>
        <v>0.51</v>
      </c>
      <c r="M7" s="115">
        <f>VLOOKUP($A7, 'Table 6 - Full data'!$A$2:$M$181,13,FALSE)</f>
        <v>0.12</v>
      </c>
      <c r="N7" s="26"/>
      <c r="O7" s="26"/>
      <c r="P7" s="26"/>
      <c r="Q7" s="26"/>
      <c r="R7" s="26"/>
      <c r="S7" s="26"/>
      <c r="T7" s="26"/>
      <c r="U7" s="26"/>
      <c r="V7" s="26"/>
      <c r="W7" s="26"/>
      <c r="X7" s="26"/>
      <c r="Y7" s="26"/>
      <c r="Z7" s="26"/>
      <c r="AA7" s="26"/>
    </row>
    <row r="8" spans="1:27" ht="15.5" x14ac:dyDescent="0.35">
      <c r="A8" s="40" t="str">
        <f xml:space="preserve"> "Aberdeen City " &amp;$B$5</f>
        <v>Aberdeen City All time</v>
      </c>
      <c r="B8" s="136">
        <f>VLOOKUP($A8, 'Table 6 - Full data'!$A$2:$M$181,2,FALSE)</f>
        <v>8400</v>
      </c>
      <c r="C8" s="110">
        <f>VLOOKUP($A8, 'Table 6 - Full data'!$A$2:$M$181,3,FALSE)</f>
        <v>0.03</v>
      </c>
      <c r="D8" s="134">
        <f>VLOOKUP($A8, 'Table 6 - Full data'!$A$2:$M$181,4,FALSE)</f>
        <v>2910</v>
      </c>
      <c r="E8" s="134">
        <f>VLOOKUP($A8, 'Table 6 - Full data'!$A$2:$M$181,5,FALSE)</f>
        <v>2835</v>
      </c>
      <c r="F8" s="134">
        <f>VLOOKUP($A8, 'Table 6 - Full data'!$A$2:$M$181,6,FALSE)</f>
        <v>1740</v>
      </c>
      <c r="G8" s="134">
        <f>VLOOKUP($A8, 'Table 6 - Full data'!$A$2:$M$181,7,FALSE)</f>
        <v>4510</v>
      </c>
      <c r="H8" s="134">
        <f>VLOOKUP($A8, 'Table 6 - Full data'!$A$2:$M$181,8,FALSE)</f>
        <v>875</v>
      </c>
      <c r="I8" s="110">
        <f>VLOOKUP($A8, 'Table 6 - Full data'!$A$2:$M$181,9,FALSE)</f>
        <v>0.35</v>
      </c>
      <c r="J8" s="110">
        <f>VLOOKUP($A8, 'Table 6 - Full data'!$A$2:$M$181,10,FALSE)</f>
        <v>0.34</v>
      </c>
      <c r="K8" s="110">
        <f>VLOOKUP($A8, 'Table 6 - Full data'!$A$2:$M$181,11,FALSE)</f>
        <v>0.21</v>
      </c>
      <c r="L8" s="110">
        <f>VLOOKUP($A8, 'Table 6 - Full data'!$A$2:$M$181,12,FALSE)</f>
        <v>0.54</v>
      </c>
      <c r="M8" s="110">
        <f>VLOOKUP($A8, 'Table 6 - Full data'!$A$2:$M$181,13,FALSE)</f>
        <v>0.1</v>
      </c>
      <c r="N8" s="26"/>
      <c r="O8" s="26"/>
      <c r="P8" s="26"/>
      <c r="Q8" s="26"/>
      <c r="R8" s="26"/>
      <c r="S8" s="26"/>
      <c r="T8" s="26"/>
      <c r="U8" s="26"/>
      <c r="V8" s="26"/>
      <c r="W8" s="26"/>
      <c r="X8" s="26"/>
      <c r="Y8" s="26"/>
      <c r="Z8" s="26"/>
      <c r="AA8" s="26"/>
    </row>
    <row r="9" spans="1:27" ht="15.5" x14ac:dyDescent="0.35">
      <c r="A9" s="40" t="str">
        <f xml:space="preserve"> "Aberdeenshire " &amp;$B$5</f>
        <v>Aberdeenshire All time</v>
      </c>
      <c r="B9" s="136">
        <f>VLOOKUP($A9, 'Table 6 - Full data'!$A$2:$M$181,2,FALSE)</f>
        <v>6810</v>
      </c>
      <c r="C9" s="110">
        <f>VLOOKUP($A9, 'Table 6 - Full data'!$A$2:$M$181,3,FALSE)</f>
        <v>0.02</v>
      </c>
      <c r="D9" s="134">
        <f>VLOOKUP($A9, 'Table 6 - Full data'!$A$2:$M$181,4,FALSE)</f>
        <v>2235</v>
      </c>
      <c r="E9" s="134">
        <f>VLOOKUP($A9, 'Table 6 - Full data'!$A$2:$M$181,5,FALSE)</f>
        <v>2240</v>
      </c>
      <c r="F9" s="134">
        <f>VLOOKUP($A9, 'Table 6 - Full data'!$A$2:$M$181,6,FALSE)</f>
        <v>1540</v>
      </c>
      <c r="G9" s="134">
        <f>VLOOKUP($A9, 'Table 6 - Full data'!$A$2:$M$181,7,FALSE)</f>
        <v>3515</v>
      </c>
      <c r="H9" s="134">
        <f>VLOOKUP($A9, 'Table 6 - Full data'!$A$2:$M$181,8,FALSE)</f>
        <v>790</v>
      </c>
      <c r="I9" s="110">
        <f>VLOOKUP($A9, 'Table 6 - Full data'!$A$2:$M$181,9,FALSE)</f>
        <v>0.33</v>
      </c>
      <c r="J9" s="110">
        <f>VLOOKUP($A9, 'Table 6 - Full data'!$A$2:$M$181,10,FALSE)</f>
        <v>0.33</v>
      </c>
      <c r="K9" s="110">
        <f>VLOOKUP($A9, 'Table 6 - Full data'!$A$2:$M$181,11,FALSE)</f>
        <v>0.23</v>
      </c>
      <c r="L9" s="110">
        <f>VLOOKUP($A9, 'Table 6 - Full data'!$A$2:$M$181,12,FALSE)</f>
        <v>0.52</v>
      </c>
      <c r="M9" s="110">
        <f>VLOOKUP($A9, 'Table 6 - Full data'!$A$2:$M$181,13,FALSE)</f>
        <v>0.12</v>
      </c>
      <c r="N9" s="26"/>
      <c r="O9" s="26"/>
      <c r="P9" s="26"/>
      <c r="Q9" s="26"/>
      <c r="R9" s="26"/>
      <c r="S9" s="26"/>
      <c r="T9" s="26"/>
      <c r="U9" s="26"/>
      <c r="V9" s="26"/>
      <c r="W9" s="26"/>
      <c r="X9" s="26"/>
      <c r="Y9" s="26"/>
      <c r="Z9" s="26"/>
      <c r="AA9" s="26"/>
    </row>
    <row r="10" spans="1:27" ht="15.5" x14ac:dyDescent="0.35">
      <c r="A10" s="40" t="str">
        <f xml:space="preserve"> "Angus " &amp;$B$5</f>
        <v>Angus All time</v>
      </c>
      <c r="B10" s="136">
        <f>VLOOKUP($A10, 'Table 6 - Full data'!$A$2:$M$181,2,FALSE)</f>
        <v>5130</v>
      </c>
      <c r="C10" s="110">
        <f>VLOOKUP($A10, 'Table 6 - Full data'!$A$2:$M$181,3,FALSE)</f>
        <v>0.02</v>
      </c>
      <c r="D10" s="134">
        <f>VLOOKUP($A10, 'Table 6 - Full data'!$A$2:$M$181,4,FALSE)</f>
        <v>1685</v>
      </c>
      <c r="E10" s="134">
        <f>VLOOKUP($A10, 'Table 6 - Full data'!$A$2:$M$181,5,FALSE)</f>
        <v>1745</v>
      </c>
      <c r="F10" s="134">
        <f>VLOOKUP($A10, 'Table 6 - Full data'!$A$2:$M$181,6,FALSE)</f>
        <v>1250</v>
      </c>
      <c r="G10" s="134">
        <f>VLOOKUP($A10, 'Table 6 - Full data'!$A$2:$M$181,7,FALSE)</f>
        <v>2620</v>
      </c>
      <c r="H10" s="134">
        <f>VLOOKUP($A10, 'Table 6 - Full data'!$A$2:$M$181,8,FALSE)</f>
        <v>560</v>
      </c>
      <c r="I10" s="110">
        <f>VLOOKUP($A10, 'Table 6 - Full data'!$A$2:$M$181,9,FALSE)</f>
        <v>0.33</v>
      </c>
      <c r="J10" s="110">
        <f>VLOOKUP($A10, 'Table 6 - Full data'!$A$2:$M$181,10,FALSE)</f>
        <v>0.34</v>
      </c>
      <c r="K10" s="110">
        <f>VLOOKUP($A10, 'Table 6 - Full data'!$A$2:$M$181,11,FALSE)</f>
        <v>0.24</v>
      </c>
      <c r="L10" s="110">
        <f>VLOOKUP($A10, 'Table 6 - Full data'!$A$2:$M$181,12,FALSE)</f>
        <v>0.51</v>
      </c>
      <c r="M10" s="110">
        <f>VLOOKUP($A10, 'Table 6 - Full data'!$A$2:$M$181,13,FALSE)</f>
        <v>0.11</v>
      </c>
      <c r="N10" s="26"/>
      <c r="O10" s="26"/>
      <c r="P10" s="26"/>
      <c r="Q10" s="26"/>
      <c r="R10" s="26"/>
      <c r="S10" s="26"/>
      <c r="T10" s="26"/>
      <c r="U10" s="26"/>
      <c r="V10" s="26"/>
      <c r="W10" s="26"/>
      <c r="X10" s="26"/>
      <c r="Y10" s="26"/>
      <c r="Z10" s="26"/>
      <c r="AA10" s="26"/>
    </row>
    <row r="11" spans="1:27" ht="15.5" x14ac:dyDescent="0.35">
      <c r="A11" s="40" t="str">
        <f xml:space="preserve"> "Argyll &amp; Bute " &amp;$B$5</f>
        <v>Argyll &amp; Bute All time</v>
      </c>
      <c r="B11" s="136">
        <f>VLOOKUP($A11, 'Table 6 - Full data'!$A$2:$M$181,2,FALSE)</f>
        <v>3050</v>
      </c>
      <c r="C11" s="110">
        <f>VLOOKUP($A11, 'Table 6 - Full data'!$A$2:$M$181,3,FALSE)</f>
        <v>0.01</v>
      </c>
      <c r="D11" s="134">
        <f>VLOOKUP($A11, 'Table 6 - Full data'!$A$2:$M$181,4,FALSE)</f>
        <v>1005</v>
      </c>
      <c r="E11" s="134">
        <f>VLOOKUP($A11, 'Table 6 - Full data'!$A$2:$M$181,5,FALSE)</f>
        <v>1080</v>
      </c>
      <c r="F11" s="134">
        <f>VLOOKUP($A11, 'Table 6 - Full data'!$A$2:$M$181,6,FALSE)</f>
        <v>700</v>
      </c>
      <c r="G11" s="134">
        <f>VLOOKUP($A11, 'Table 6 - Full data'!$A$2:$M$181,7,FALSE)</f>
        <v>1495</v>
      </c>
      <c r="H11" s="134">
        <f>VLOOKUP($A11, 'Table 6 - Full data'!$A$2:$M$181,8,FALSE)</f>
        <v>345</v>
      </c>
      <c r="I11" s="110">
        <f>VLOOKUP($A11, 'Table 6 - Full data'!$A$2:$M$181,9,FALSE)</f>
        <v>0.33</v>
      </c>
      <c r="J11" s="110">
        <f>VLOOKUP($A11, 'Table 6 - Full data'!$A$2:$M$181,10,FALSE)</f>
        <v>0.35</v>
      </c>
      <c r="K11" s="110">
        <f>VLOOKUP($A11, 'Table 6 - Full data'!$A$2:$M$181,11,FALSE)</f>
        <v>0.23</v>
      </c>
      <c r="L11" s="110">
        <f>VLOOKUP($A11, 'Table 6 - Full data'!$A$2:$M$181,12,FALSE)</f>
        <v>0.49</v>
      </c>
      <c r="M11" s="110">
        <f>VLOOKUP($A11, 'Table 6 - Full data'!$A$2:$M$181,13,FALSE)</f>
        <v>0.11</v>
      </c>
      <c r="N11" s="26"/>
      <c r="O11" s="26"/>
      <c r="P11" s="26"/>
      <c r="Q11" s="26"/>
      <c r="R11" s="26"/>
      <c r="S11" s="26"/>
      <c r="T11" s="26"/>
      <c r="U11" s="26"/>
      <c r="V11" s="26"/>
      <c r="W11" s="26"/>
      <c r="X11" s="26"/>
      <c r="Y11" s="26"/>
      <c r="Z11" s="26"/>
      <c r="AA11" s="26"/>
    </row>
    <row r="12" spans="1:27" ht="15.5" x14ac:dyDescent="0.35">
      <c r="A12" s="40" t="str">
        <f xml:space="preserve"> "Clackmannanshire " &amp;$B$5</f>
        <v>Clackmannanshire All time</v>
      </c>
      <c r="B12" s="136">
        <f>VLOOKUP($A12, 'Table 6 - Full data'!$A$2:$M$181,2,FALSE)</f>
        <v>2980</v>
      </c>
      <c r="C12" s="110">
        <f>VLOOKUP($A12, 'Table 6 - Full data'!$A$2:$M$181,3,FALSE)</f>
        <v>0.01</v>
      </c>
      <c r="D12" s="134">
        <f>VLOOKUP($A12, 'Table 6 - Full data'!$A$2:$M$181,4,FALSE)</f>
        <v>910</v>
      </c>
      <c r="E12" s="134">
        <f>VLOOKUP($A12, 'Table 6 - Full data'!$A$2:$M$181,5,FALSE)</f>
        <v>1010</v>
      </c>
      <c r="F12" s="134">
        <f>VLOOKUP($A12, 'Table 6 - Full data'!$A$2:$M$181,6,FALSE)</f>
        <v>740</v>
      </c>
      <c r="G12" s="134">
        <f>VLOOKUP($A12, 'Table 6 - Full data'!$A$2:$M$181,7,FALSE)</f>
        <v>1525</v>
      </c>
      <c r="H12" s="134">
        <f>VLOOKUP($A12, 'Table 6 - Full data'!$A$2:$M$181,8,FALSE)</f>
        <v>335</v>
      </c>
      <c r="I12" s="110">
        <f>VLOOKUP($A12, 'Table 6 - Full data'!$A$2:$M$181,9,FALSE)</f>
        <v>0.31</v>
      </c>
      <c r="J12" s="110">
        <f>VLOOKUP($A12, 'Table 6 - Full data'!$A$2:$M$181,10,FALSE)</f>
        <v>0.34</v>
      </c>
      <c r="K12" s="110">
        <f>VLOOKUP($A12, 'Table 6 - Full data'!$A$2:$M$181,11,FALSE)</f>
        <v>0.25</v>
      </c>
      <c r="L12" s="110">
        <f>VLOOKUP($A12, 'Table 6 - Full data'!$A$2:$M$181,12,FALSE)</f>
        <v>0.51</v>
      </c>
      <c r="M12" s="110">
        <f>VLOOKUP($A12, 'Table 6 - Full data'!$A$2:$M$181,13,FALSE)</f>
        <v>0.11</v>
      </c>
      <c r="N12" s="26"/>
      <c r="O12" s="26"/>
      <c r="P12" s="26"/>
      <c r="Q12" s="26"/>
      <c r="R12" s="26"/>
      <c r="S12" s="26"/>
      <c r="T12" s="26"/>
      <c r="U12" s="26"/>
      <c r="V12" s="26"/>
      <c r="W12" s="26"/>
      <c r="X12" s="26"/>
      <c r="Y12" s="26"/>
      <c r="Z12" s="26"/>
      <c r="AA12" s="26"/>
    </row>
    <row r="13" spans="1:27" ht="15.5" x14ac:dyDescent="0.35">
      <c r="A13" s="40" t="str">
        <f xml:space="preserve"> "Dumfries &amp; Galloway " &amp;$B$5</f>
        <v>Dumfries &amp; Galloway All time</v>
      </c>
      <c r="B13" s="136">
        <f>VLOOKUP($A13, 'Table 6 - Full data'!$A$2:$M$181,2,FALSE)</f>
        <v>7085</v>
      </c>
      <c r="C13" s="110">
        <f>VLOOKUP($A13, 'Table 6 - Full data'!$A$2:$M$181,3,FALSE)</f>
        <v>0.03</v>
      </c>
      <c r="D13" s="134">
        <f>VLOOKUP($A13, 'Table 6 - Full data'!$A$2:$M$181,4,FALSE)</f>
        <v>2250</v>
      </c>
      <c r="E13" s="134">
        <f>VLOOKUP($A13, 'Table 6 - Full data'!$A$2:$M$181,5,FALSE)</f>
        <v>2590</v>
      </c>
      <c r="F13" s="134">
        <f>VLOOKUP($A13, 'Table 6 - Full data'!$A$2:$M$181,6,FALSE)</f>
        <v>1650</v>
      </c>
      <c r="G13" s="134">
        <f>VLOOKUP($A13, 'Table 6 - Full data'!$A$2:$M$181,7,FALSE)</f>
        <v>3655</v>
      </c>
      <c r="H13" s="134">
        <f>VLOOKUP($A13, 'Table 6 - Full data'!$A$2:$M$181,8,FALSE)</f>
        <v>755</v>
      </c>
      <c r="I13" s="110">
        <f>VLOOKUP($A13, 'Table 6 - Full data'!$A$2:$M$181,9,FALSE)</f>
        <v>0.32</v>
      </c>
      <c r="J13" s="110">
        <f>VLOOKUP($A13, 'Table 6 - Full data'!$A$2:$M$181,10,FALSE)</f>
        <v>0.37</v>
      </c>
      <c r="K13" s="110">
        <f>VLOOKUP($A13, 'Table 6 - Full data'!$A$2:$M$181,11,FALSE)</f>
        <v>0.23</v>
      </c>
      <c r="L13" s="110">
        <f>VLOOKUP($A13, 'Table 6 - Full data'!$A$2:$M$181,12,FALSE)</f>
        <v>0.52</v>
      </c>
      <c r="M13" s="110">
        <f>VLOOKUP($A13, 'Table 6 - Full data'!$A$2:$M$181,13,FALSE)</f>
        <v>0.11</v>
      </c>
      <c r="N13" s="26"/>
      <c r="O13" s="26"/>
      <c r="P13" s="26"/>
      <c r="Q13" s="26"/>
      <c r="R13" s="26"/>
      <c r="S13" s="26"/>
      <c r="T13" s="26"/>
      <c r="U13" s="26"/>
      <c r="V13" s="26"/>
      <c r="W13" s="26"/>
      <c r="X13" s="26"/>
      <c r="Y13" s="26"/>
      <c r="Z13" s="26"/>
      <c r="AA13" s="26"/>
    </row>
    <row r="14" spans="1:27" ht="15.5" x14ac:dyDescent="0.35">
      <c r="A14" s="40" t="str">
        <f xml:space="preserve"> "Dundee City " &amp;$B$5</f>
        <v>Dundee City All time</v>
      </c>
      <c r="B14" s="136">
        <f>VLOOKUP($A14, 'Table 6 - Full data'!$A$2:$M$181,2,FALSE)</f>
        <v>9250</v>
      </c>
      <c r="C14" s="110">
        <f>VLOOKUP($A14, 'Table 6 - Full data'!$A$2:$M$181,3,FALSE)</f>
        <v>0.03</v>
      </c>
      <c r="D14" s="134">
        <f>VLOOKUP($A14, 'Table 6 - Full data'!$A$2:$M$181,4,FALSE)</f>
        <v>2890</v>
      </c>
      <c r="E14" s="134">
        <f>VLOOKUP($A14, 'Table 6 - Full data'!$A$2:$M$181,5,FALSE)</f>
        <v>3125</v>
      </c>
      <c r="F14" s="134">
        <f>VLOOKUP($A14, 'Table 6 - Full data'!$A$2:$M$181,6,FALSE)</f>
        <v>2095</v>
      </c>
      <c r="G14" s="134">
        <f>VLOOKUP($A14, 'Table 6 - Full data'!$A$2:$M$181,7,FALSE)</f>
        <v>4715</v>
      </c>
      <c r="H14" s="134">
        <f>VLOOKUP($A14, 'Table 6 - Full data'!$A$2:$M$181,8,FALSE)</f>
        <v>1060</v>
      </c>
      <c r="I14" s="110">
        <f>VLOOKUP($A14, 'Table 6 - Full data'!$A$2:$M$181,9,FALSE)</f>
        <v>0.31</v>
      </c>
      <c r="J14" s="110">
        <f>VLOOKUP($A14, 'Table 6 - Full data'!$A$2:$M$181,10,FALSE)</f>
        <v>0.34</v>
      </c>
      <c r="K14" s="110">
        <f>VLOOKUP($A14, 'Table 6 - Full data'!$A$2:$M$181,11,FALSE)</f>
        <v>0.23</v>
      </c>
      <c r="L14" s="110">
        <f>VLOOKUP($A14, 'Table 6 - Full data'!$A$2:$M$181,12,FALSE)</f>
        <v>0.51</v>
      </c>
      <c r="M14" s="110">
        <f>VLOOKUP($A14, 'Table 6 - Full data'!$A$2:$M$181,13,FALSE)</f>
        <v>0.11</v>
      </c>
      <c r="N14" s="26"/>
      <c r="O14" s="26"/>
      <c r="P14" s="26"/>
      <c r="Q14" s="26"/>
      <c r="R14" s="26"/>
      <c r="S14" s="26"/>
      <c r="T14" s="26"/>
      <c r="U14" s="26"/>
      <c r="V14" s="26"/>
      <c r="W14" s="26"/>
      <c r="X14" s="26"/>
      <c r="Y14" s="26"/>
      <c r="Z14" s="26"/>
      <c r="AA14" s="26"/>
    </row>
    <row r="15" spans="1:27" ht="15.5" x14ac:dyDescent="0.35">
      <c r="A15" s="40" t="str">
        <f xml:space="preserve"> "East Ayrshire " &amp;$B$5</f>
        <v>East Ayrshire All time</v>
      </c>
      <c r="B15" s="136">
        <f>VLOOKUP($A15, 'Table 6 - Full data'!$A$2:$M$181,2,FALSE)</f>
        <v>8060</v>
      </c>
      <c r="C15" s="110">
        <f>VLOOKUP($A15, 'Table 6 - Full data'!$A$2:$M$181,3,FALSE)</f>
        <v>0.03</v>
      </c>
      <c r="D15" s="134">
        <f>VLOOKUP($A15, 'Table 6 - Full data'!$A$2:$M$181,4,FALSE)</f>
        <v>2630</v>
      </c>
      <c r="E15" s="134">
        <f>VLOOKUP($A15, 'Table 6 - Full data'!$A$2:$M$181,5,FALSE)</f>
        <v>2735</v>
      </c>
      <c r="F15" s="134">
        <f>VLOOKUP($A15, 'Table 6 - Full data'!$A$2:$M$181,6,FALSE)</f>
        <v>1715</v>
      </c>
      <c r="G15" s="134">
        <f>VLOOKUP($A15, 'Table 6 - Full data'!$A$2:$M$181,7,FALSE)</f>
        <v>4090</v>
      </c>
      <c r="H15" s="134">
        <f>VLOOKUP($A15, 'Table 6 - Full data'!$A$2:$M$181,8,FALSE)</f>
        <v>970</v>
      </c>
      <c r="I15" s="110">
        <f>VLOOKUP($A15, 'Table 6 - Full data'!$A$2:$M$181,9,FALSE)</f>
        <v>0.33</v>
      </c>
      <c r="J15" s="110">
        <f>VLOOKUP($A15, 'Table 6 - Full data'!$A$2:$M$181,10,FALSE)</f>
        <v>0.34</v>
      </c>
      <c r="K15" s="110">
        <f>VLOOKUP($A15, 'Table 6 - Full data'!$A$2:$M$181,11,FALSE)</f>
        <v>0.21</v>
      </c>
      <c r="L15" s="110">
        <f>VLOOKUP($A15, 'Table 6 - Full data'!$A$2:$M$181,12,FALSE)</f>
        <v>0.51</v>
      </c>
      <c r="M15" s="110">
        <f>VLOOKUP($A15, 'Table 6 - Full data'!$A$2:$M$181,13,FALSE)</f>
        <v>0.12</v>
      </c>
      <c r="N15" s="26"/>
      <c r="O15" s="26"/>
      <c r="P15" s="26"/>
      <c r="Q15" s="26"/>
      <c r="R15" s="26"/>
      <c r="S15" s="26"/>
      <c r="T15" s="26"/>
      <c r="U15" s="26"/>
      <c r="V15" s="26"/>
      <c r="W15" s="26"/>
      <c r="X15" s="26"/>
      <c r="Y15" s="26"/>
      <c r="Z15" s="26"/>
      <c r="AA15" s="26"/>
    </row>
    <row r="16" spans="1:27" ht="15.5" x14ac:dyDescent="0.35">
      <c r="A16" s="40" t="str">
        <f xml:space="preserve"> "East Dunbartonshire " &amp;$B$5</f>
        <v>East Dunbartonshire All time</v>
      </c>
      <c r="B16" s="136">
        <f>VLOOKUP($A16, 'Table 6 - Full data'!$A$2:$M$181,2,FALSE)</f>
        <v>2680</v>
      </c>
      <c r="C16" s="110">
        <f>VLOOKUP($A16, 'Table 6 - Full data'!$A$2:$M$181,3,FALSE)</f>
        <v>0.01</v>
      </c>
      <c r="D16" s="134">
        <f>VLOOKUP($A16, 'Table 6 - Full data'!$A$2:$M$181,4,FALSE)</f>
        <v>835</v>
      </c>
      <c r="E16" s="134">
        <f>VLOOKUP($A16, 'Table 6 - Full data'!$A$2:$M$181,5,FALSE)</f>
        <v>890</v>
      </c>
      <c r="F16" s="134">
        <f>VLOOKUP($A16, 'Table 6 - Full data'!$A$2:$M$181,6,FALSE)</f>
        <v>645</v>
      </c>
      <c r="G16" s="134">
        <f>VLOOKUP($A16, 'Table 6 - Full data'!$A$2:$M$181,7,FALSE)</f>
        <v>1275</v>
      </c>
      <c r="H16" s="134">
        <f>VLOOKUP($A16, 'Table 6 - Full data'!$A$2:$M$181,8,FALSE)</f>
        <v>340</v>
      </c>
      <c r="I16" s="110">
        <f>VLOOKUP($A16, 'Table 6 - Full data'!$A$2:$M$181,9,FALSE)</f>
        <v>0.31</v>
      </c>
      <c r="J16" s="110">
        <f>VLOOKUP($A16, 'Table 6 - Full data'!$A$2:$M$181,10,FALSE)</f>
        <v>0.33</v>
      </c>
      <c r="K16" s="110">
        <f>VLOOKUP($A16, 'Table 6 - Full data'!$A$2:$M$181,11,FALSE)</f>
        <v>0.24</v>
      </c>
      <c r="L16" s="110">
        <f>VLOOKUP($A16, 'Table 6 - Full data'!$A$2:$M$181,12,FALSE)</f>
        <v>0.48</v>
      </c>
      <c r="M16" s="110">
        <f>VLOOKUP($A16, 'Table 6 - Full data'!$A$2:$M$181,13,FALSE)</f>
        <v>0.13</v>
      </c>
      <c r="N16" s="26"/>
      <c r="O16" s="26"/>
      <c r="P16" s="26"/>
      <c r="Q16" s="26"/>
      <c r="R16" s="26"/>
      <c r="S16" s="26"/>
      <c r="T16" s="26"/>
      <c r="U16" s="26"/>
      <c r="V16" s="26"/>
      <c r="W16" s="26"/>
      <c r="X16" s="26"/>
      <c r="Y16" s="26"/>
      <c r="Z16" s="26"/>
      <c r="AA16" s="26"/>
    </row>
    <row r="17" spans="1:27" ht="15.5" x14ac:dyDescent="0.35">
      <c r="A17" s="40" t="str">
        <f xml:space="preserve"> "East Lothian " &amp;$B$5</f>
        <v>East Lothian All time</v>
      </c>
      <c r="B17" s="136">
        <f>VLOOKUP($A17, 'Table 6 - Full data'!$A$2:$M$181,2,FALSE)</f>
        <v>4455</v>
      </c>
      <c r="C17" s="110">
        <f>VLOOKUP($A17, 'Table 6 - Full data'!$A$2:$M$181,3,FALSE)</f>
        <v>0.02</v>
      </c>
      <c r="D17" s="134">
        <f>VLOOKUP($A17, 'Table 6 - Full data'!$A$2:$M$181,4,FALSE)</f>
        <v>1390</v>
      </c>
      <c r="E17" s="134">
        <f>VLOOKUP($A17, 'Table 6 - Full data'!$A$2:$M$181,5,FALSE)</f>
        <v>1510</v>
      </c>
      <c r="F17" s="134">
        <f>VLOOKUP($A17, 'Table 6 - Full data'!$A$2:$M$181,6,FALSE)</f>
        <v>1105</v>
      </c>
      <c r="G17" s="134">
        <f>VLOOKUP($A17, 'Table 6 - Full data'!$A$2:$M$181,7,FALSE)</f>
        <v>2185</v>
      </c>
      <c r="H17" s="134">
        <f>VLOOKUP($A17, 'Table 6 - Full data'!$A$2:$M$181,8,FALSE)</f>
        <v>530</v>
      </c>
      <c r="I17" s="110">
        <f>VLOOKUP($A17, 'Table 6 - Full data'!$A$2:$M$181,9,FALSE)</f>
        <v>0.31</v>
      </c>
      <c r="J17" s="110">
        <f>VLOOKUP($A17, 'Table 6 - Full data'!$A$2:$M$181,10,FALSE)</f>
        <v>0.34</v>
      </c>
      <c r="K17" s="110">
        <f>VLOOKUP($A17, 'Table 6 - Full data'!$A$2:$M$181,11,FALSE)</f>
        <v>0.25</v>
      </c>
      <c r="L17" s="110">
        <f>VLOOKUP($A17, 'Table 6 - Full data'!$A$2:$M$181,12,FALSE)</f>
        <v>0.49</v>
      </c>
      <c r="M17" s="110">
        <f>VLOOKUP($A17, 'Table 6 - Full data'!$A$2:$M$181,13,FALSE)</f>
        <v>0.12</v>
      </c>
      <c r="N17" s="26"/>
      <c r="O17" s="26"/>
      <c r="P17" s="26"/>
      <c r="Q17" s="26"/>
      <c r="R17" s="26"/>
      <c r="S17" s="26"/>
      <c r="T17" s="26"/>
      <c r="U17" s="26"/>
      <c r="V17" s="26"/>
      <c r="W17" s="26"/>
      <c r="X17" s="26"/>
      <c r="Y17" s="26"/>
      <c r="Z17" s="26"/>
      <c r="AA17" s="26"/>
    </row>
    <row r="18" spans="1:27" ht="15.5" x14ac:dyDescent="0.35">
      <c r="A18" s="40" t="str">
        <f xml:space="preserve"> "East Renfrewshire " &amp;$B$5</f>
        <v>East Renfrewshire All time</v>
      </c>
      <c r="B18" s="136">
        <f>VLOOKUP($A18, 'Table 6 - Full data'!$A$2:$M$181,2,FALSE)</f>
        <v>2415</v>
      </c>
      <c r="C18" s="110">
        <f>VLOOKUP($A18, 'Table 6 - Full data'!$A$2:$M$181,3,FALSE)</f>
        <v>0.01</v>
      </c>
      <c r="D18" s="134">
        <f>VLOOKUP($A18, 'Table 6 - Full data'!$A$2:$M$181,4,FALSE)</f>
        <v>765</v>
      </c>
      <c r="E18" s="134">
        <f>VLOOKUP($A18, 'Table 6 - Full data'!$A$2:$M$181,5,FALSE)</f>
        <v>810</v>
      </c>
      <c r="F18" s="134">
        <f>VLOOKUP($A18, 'Table 6 - Full data'!$A$2:$M$181,6,FALSE)</f>
        <v>585</v>
      </c>
      <c r="G18" s="134">
        <f>VLOOKUP($A18, 'Table 6 - Full data'!$A$2:$M$181,7,FALSE)</f>
        <v>1155</v>
      </c>
      <c r="H18" s="134">
        <f>VLOOKUP($A18, 'Table 6 - Full data'!$A$2:$M$181,8,FALSE)</f>
        <v>280</v>
      </c>
      <c r="I18" s="110">
        <f>VLOOKUP($A18, 'Table 6 - Full data'!$A$2:$M$181,9,FALSE)</f>
        <v>0.32</v>
      </c>
      <c r="J18" s="110">
        <f>VLOOKUP($A18, 'Table 6 - Full data'!$A$2:$M$181,10,FALSE)</f>
        <v>0.34</v>
      </c>
      <c r="K18" s="110">
        <f>VLOOKUP($A18, 'Table 6 - Full data'!$A$2:$M$181,11,FALSE)</f>
        <v>0.24</v>
      </c>
      <c r="L18" s="110">
        <f>VLOOKUP($A18, 'Table 6 - Full data'!$A$2:$M$181,12,FALSE)</f>
        <v>0.48</v>
      </c>
      <c r="M18" s="110">
        <f>VLOOKUP($A18, 'Table 6 - Full data'!$A$2:$M$181,13,FALSE)</f>
        <v>0.12</v>
      </c>
      <c r="N18" s="26"/>
      <c r="O18" s="26"/>
      <c r="P18" s="26"/>
      <c r="Q18" s="26"/>
      <c r="R18" s="26"/>
      <c r="S18" s="26"/>
      <c r="T18" s="26"/>
      <c r="U18" s="26"/>
      <c r="V18" s="26"/>
      <c r="W18" s="26"/>
      <c r="X18" s="26"/>
      <c r="Y18" s="26"/>
      <c r="Z18" s="26"/>
      <c r="AA18" s="26"/>
    </row>
    <row r="19" spans="1:27" ht="15.5" x14ac:dyDescent="0.35">
      <c r="A19" s="40" t="str">
        <f xml:space="preserve"> "Edinburgh, City of " &amp;$B$5</f>
        <v>Edinburgh, City of All time</v>
      </c>
      <c r="B19" s="136">
        <f>VLOOKUP($A19, 'Table 6 - Full data'!$A$2:$M$181,2,FALSE)</f>
        <v>16860</v>
      </c>
      <c r="C19" s="110">
        <f>VLOOKUP($A19, 'Table 6 - Full data'!$A$2:$M$181,3,FALSE)</f>
        <v>0.06</v>
      </c>
      <c r="D19" s="134">
        <f>VLOOKUP($A19, 'Table 6 - Full data'!$A$2:$M$181,4,FALSE)</f>
        <v>5465</v>
      </c>
      <c r="E19" s="134">
        <f>VLOOKUP($A19, 'Table 6 - Full data'!$A$2:$M$181,5,FALSE)</f>
        <v>5600</v>
      </c>
      <c r="F19" s="134">
        <f>VLOOKUP($A19, 'Table 6 - Full data'!$A$2:$M$181,6,FALSE)</f>
        <v>3815</v>
      </c>
      <c r="G19" s="134">
        <f>VLOOKUP($A19, 'Table 6 - Full data'!$A$2:$M$181,7,FALSE)</f>
        <v>8855</v>
      </c>
      <c r="H19" s="134">
        <f>VLOOKUP($A19, 'Table 6 - Full data'!$A$2:$M$181,8,FALSE)</f>
        <v>1915</v>
      </c>
      <c r="I19" s="110">
        <f>VLOOKUP($A19, 'Table 6 - Full data'!$A$2:$M$181,9,FALSE)</f>
        <v>0.32</v>
      </c>
      <c r="J19" s="110">
        <f>VLOOKUP($A19, 'Table 6 - Full data'!$A$2:$M$181,10,FALSE)</f>
        <v>0.33</v>
      </c>
      <c r="K19" s="110">
        <f>VLOOKUP($A19, 'Table 6 - Full data'!$A$2:$M$181,11,FALSE)</f>
        <v>0.23</v>
      </c>
      <c r="L19" s="110">
        <f>VLOOKUP($A19, 'Table 6 - Full data'!$A$2:$M$181,12,FALSE)</f>
        <v>0.53</v>
      </c>
      <c r="M19" s="110">
        <f>VLOOKUP($A19, 'Table 6 - Full data'!$A$2:$M$181,13,FALSE)</f>
        <v>0.11</v>
      </c>
      <c r="N19" s="26"/>
      <c r="O19" s="26"/>
      <c r="P19" s="26"/>
      <c r="Q19" s="26"/>
      <c r="R19" s="26"/>
      <c r="S19" s="26"/>
      <c r="T19" s="26"/>
      <c r="U19" s="26"/>
      <c r="V19" s="26"/>
      <c r="W19" s="26"/>
      <c r="X19" s="26"/>
      <c r="Y19" s="26"/>
      <c r="Z19" s="26"/>
      <c r="AA19" s="26"/>
    </row>
    <row r="20" spans="1:27" ht="15.5" x14ac:dyDescent="0.35">
      <c r="A20" s="40" t="str">
        <f xml:space="preserve"> "Falkirk " &amp;$B$5</f>
        <v>Falkirk All time</v>
      </c>
      <c r="B20" s="136">
        <f>VLOOKUP($A20, 'Table 6 - Full data'!$A$2:$M$181,2,FALSE)</f>
        <v>7655</v>
      </c>
      <c r="C20" s="110">
        <f>VLOOKUP($A20, 'Table 6 - Full data'!$A$2:$M$181,3,FALSE)</f>
        <v>0.03</v>
      </c>
      <c r="D20" s="134">
        <f>VLOOKUP($A20, 'Table 6 - Full data'!$A$2:$M$181,4,FALSE)</f>
        <v>2510</v>
      </c>
      <c r="E20" s="134">
        <f>VLOOKUP($A20, 'Table 6 - Full data'!$A$2:$M$181,5,FALSE)</f>
        <v>2590</v>
      </c>
      <c r="F20" s="134">
        <f>VLOOKUP($A20, 'Table 6 - Full data'!$A$2:$M$181,6,FALSE)</f>
        <v>1735</v>
      </c>
      <c r="G20" s="134">
        <f>VLOOKUP($A20, 'Table 6 - Full data'!$A$2:$M$181,7,FALSE)</f>
        <v>3990</v>
      </c>
      <c r="H20" s="134">
        <f>VLOOKUP($A20, 'Table 6 - Full data'!$A$2:$M$181,8,FALSE)</f>
        <v>820</v>
      </c>
      <c r="I20" s="110">
        <f>VLOOKUP($A20, 'Table 6 - Full data'!$A$2:$M$181,9,FALSE)</f>
        <v>0.33</v>
      </c>
      <c r="J20" s="110">
        <f>VLOOKUP($A20, 'Table 6 - Full data'!$A$2:$M$181,10,FALSE)</f>
        <v>0.34</v>
      </c>
      <c r="K20" s="110">
        <f>VLOOKUP($A20, 'Table 6 - Full data'!$A$2:$M$181,11,FALSE)</f>
        <v>0.23</v>
      </c>
      <c r="L20" s="110">
        <f>VLOOKUP($A20, 'Table 6 - Full data'!$A$2:$M$181,12,FALSE)</f>
        <v>0.52</v>
      </c>
      <c r="M20" s="110">
        <f>VLOOKUP($A20, 'Table 6 - Full data'!$A$2:$M$181,13,FALSE)</f>
        <v>0.11</v>
      </c>
      <c r="N20" s="26"/>
      <c r="O20" s="26"/>
      <c r="P20" s="26"/>
      <c r="Q20" s="26"/>
      <c r="R20" s="26"/>
      <c r="S20" s="26"/>
      <c r="T20" s="26"/>
      <c r="U20" s="26"/>
      <c r="V20" s="26"/>
      <c r="W20" s="26"/>
      <c r="X20" s="26"/>
      <c r="Y20" s="26"/>
      <c r="Z20" s="26"/>
      <c r="AA20" s="26"/>
    </row>
    <row r="21" spans="1:27" ht="15.5" x14ac:dyDescent="0.35">
      <c r="A21" s="40" t="str">
        <f xml:space="preserve"> "Fife " &amp;$B$5</f>
        <v>Fife All time</v>
      </c>
      <c r="B21" s="136">
        <f>VLOOKUP($A21, 'Table 6 - Full data'!$A$2:$M$181,2,FALSE)</f>
        <v>20045</v>
      </c>
      <c r="C21" s="110">
        <f>VLOOKUP($A21, 'Table 6 - Full data'!$A$2:$M$181,3,FALSE)</f>
        <v>7.0000000000000007E-2</v>
      </c>
      <c r="D21" s="134">
        <f>VLOOKUP($A21, 'Table 6 - Full data'!$A$2:$M$181,4,FALSE)</f>
        <v>6665</v>
      </c>
      <c r="E21" s="134">
        <f>VLOOKUP($A21, 'Table 6 - Full data'!$A$2:$M$181,5,FALSE)</f>
        <v>6990</v>
      </c>
      <c r="F21" s="134">
        <f>VLOOKUP($A21, 'Table 6 - Full data'!$A$2:$M$181,6,FALSE)</f>
        <v>4470</v>
      </c>
      <c r="G21" s="134">
        <f>VLOOKUP($A21, 'Table 6 - Full data'!$A$2:$M$181,7,FALSE)</f>
        <v>10290</v>
      </c>
      <c r="H21" s="134">
        <f>VLOOKUP($A21, 'Table 6 - Full data'!$A$2:$M$181,8,FALSE)</f>
        <v>2110</v>
      </c>
      <c r="I21" s="110">
        <f>VLOOKUP($A21, 'Table 6 - Full data'!$A$2:$M$181,9,FALSE)</f>
        <v>0.33</v>
      </c>
      <c r="J21" s="110">
        <f>VLOOKUP($A21, 'Table 6 - Full data'!$A$2:$M$181,10,FALSE)</f>
        <v>0.35</v>
      </c>
      <c r="K21" s="110">
        <f>VLOOKUP($A21, 'Table 6 - Full data'!$A$2:$M$181,11,FALSE)</f>
        <v>0.22</v>
      </c>
      <c r="L21" s="110">
        <f>VLOOKUP($A21, 'Table 6 - Full data'!$A$2:$M$181,12,FALSE)</f>
        <v>0.51</v>
      </c>
      <c r="M21" s="110">
        <f>VLOOKUP($A21, 'Table 6 - Full data'!$A$2:$M$181,13,FALSE)</f>
        <v>0.11</v>
      </c>
      <c r="N21" s="26"/>
      <c r="O21" s="26"/>
      <c r="P21" s="26"/>
      <c r="Q21" s="26"/>
      <c r="R21" s="26"/>
      <c r="S21" s="26"/>
      <c r="T21" s="26"/>
      <c r="U21" s="26"/>
      <c r="V21" s="26"/>
      <c r="W21" s="26"/>
      <c r="X21" s="26"/>
      <c r="Y21" s="26"/>
      <c r="Z21" s="26"/>
      <c r="AA21" s="26"/>
    </row>
    <row r="22" spans="1:27" ht="15.5" x14ac:dyDescent="0.35">
      <c r="A22" s="40" t="str">
        <f xml:space="preserve"> "Glasgow City " &amp;$B$5</f>
        <v>Glasgow City All time</v>
      </c>
      <c r="B22" s="136">
        <f>VLOOKUP($A22, 'Table 6 - Full data'!$A$2:$M$181,2,FALSE)</f>
        <v>45965</v>
      </c>
      <c r="C22" s="110">
        <f>VLOOKUP($A22, 'Table 6 - Full data'!$A$2:$M$181,3,FALSE)</f>
        <v>0.17</v>
      </c>
      <c r="D22" s="134">
        <f>VLOOKUP($A22, 'Table 6 - Full data'!$A$2:$M$181,4,FALSE)</f>
        <v>14365</v>
      </c>
      <c r="E22" s="134">
        <f>VLOOKUP($A22, 'Table 6 - Full data'!$A$2:$M$181,5,FALSE)</f>
        <v>14990</v>
      </c>
      <c r="F22" s="134">
        <f>VLOOKUP($A22, 'Table 6 - Full data'!$A$2:$M$181,6,FALSE)</f>
        <v>10065</v>
      </c>
      <c r="G22" s="134">
        <f>VLOOKUP($A22, 'Table 6 - Full data'!$A$2:$M$181,7,FALSE)</f>
        <v>22960</v>
      </c>
      <c r="H22" s="134">
        <f>VLOOKUP($A22, 'Table 6 - Full data'!$A$2:$M$181,8,FALSE)</f>
        <v>6440</v>
      </c>
      <c r="I22" s="110">
        <f>VLOOKUP($A22, 'Table 6 - Full data'!$A$2:$M$181,9,FALSE)</f>
        <v>0.31</v>
      </c>
      <c r="J22" s="110">
        <f>VLOOKUP($A22, 'Table 6 - Full data'!$A$2:$M$181,10,FALSE)</f>
        <v>0.33</v>
      </c>
      <c r="K22" s="110">
        <f>VLOOKUP($A22, 'Table 6 - Full data'!$A$2:$M$181,11,FALSE)</f>
        <v>0.22</v>
      </c>
      <c r="L22" s="110">
        <f>VLOOKUP($A22, 'Table 6 - Full data'!$A$2:$M$181,12,FALSE)</f>
        <v>0.5</v>
      </c>
      <c r="M22" s="110">
        <f>VLOOKUP($A22, 'Table 6 - Full data'!$A$2:$M$181,13,FALSE)</f>
        <v>0.14000000000000001</v>
      </c>
      <c r="N22" s="26"/>
      <c r="O22" s="26"/>
      <c r="P22" s="26"/>
      <c r="Q22" s="26"/>
      <c r="R22" s="26"/>
      <c r="S22" s="26"/>
      <c r="T22" s="26"/>
      <c r="U22" s="26"/>
      <c r="V22" s="26"/>
      <c r="W22" s="26"/>
      <c r="X22" s="26"/>
      <c r="Y22" s="26"/>
      <c r="Z22" s="26"/>
      <c r="AA22" s="26"/>
    </row>
    <row r="23" spans="1:27" ht="15.5" x14ac:dyDescent="0.35">
      <c r="A23" s="40" t="str">
        <f xml:space="preserve"> "Highland " &amp;$B$5</f>
        <v>Highland All time</v>
      </c>
      <c r="B23" s="136">
        <f>VLOOKUP($A23, 'Table 6 - Full data'!$A$2:$M$181,2,FALSE)</f>
        <v>8960</v>
      </c>
      <c r="C23" s="110">
        <f>VLOOKUP($A23, 'Table 6 - Full data'!$A$2:$M$181,3,FALSE)</f>
        <v>0.03</v>
      </c>
      <c r="D23" s="134">
        <f>VLOOKUP($A23, 'Table 6 - Full data'!$A$2:$M$181,4,FALSE)</f>
        <v>3065</v>
      </c>
      <c r="E23" s="134">
        <f>VLOOKUP($A23, 'Table 6 - Full data'!$A$2:$M$181,5,FALSE)</f>
        <v>3075</v>
      </c>
      <c r="F23" s="134">
        <f>VLOOKUP($A23, 'Table 6 - Full data'!$A$2:$M$181,6,FALSE)</f>
        <v>2070</v>
      </c>
      <c r="G23" s="134">
        <f>VLOOKUP($A23, 'Table 6 - Full data'!$A$2:$M$181,7,FALSE)</f>
        <v>4565</v>
      </c>
      <c r="H23" s="134">
        <f>VLOOKUP($A23, 'Table 6 - Full data'!$A$2:$M$181,8,FALSE)</f>
        <v>970</v>
      </c>
      <c r="I23" s="110">
        <f>VLOOKUP($A23, 'Table 6 - Full data'!$A$2:$M$181,9,FALSE)</f>
        <v>0.34</v>
      </c>
      <c r="J23" s="110">
        <f>VLOOKUP($A23, 'Table 6 - Full data'!$A$2:$M$181,10,FALSE)</f>
        <v>0.34</v>
      </c>
      <c r="K23" s="110">
        <f>VLOOKUP($A23, 'Table 6 - Full data'!$A$2:$M$181,11,FALSE)</f>
        <v>0.23</v>
      </c>
      <c r="L23" s="110">
        <f>VLOOKUP($A23, 'Table 6 - Full data'!$A$2:$M$181,12,FALSE)</f>
        <v>0.51</v>
      </c>
      <c r="M23" s="110">
        <f>VLOOKUP($A23, 'Table 6 - Full data'!$A$2:$M$181,13,FALSE)</f>
        <v>0.11</v>
      </c>
      <c r="N23" s="26"/>
      <c r="O23" s="26"/>
      <c r="P23" s="26"/>
      <c r="Q23" s="26"/>
      <c r="R23" s="26"/>
      <c r="S23" s="26"/>
      <c r="T23" s="26"/>
      <c r="U23" s="26"/>
      <c r="V23" s="26"/>
      <c r="W23" s="26"/>
      <c r="X23" s="26"/>
      <c r="Y23" s="26"/>
      <c r="Z23" s="26"/>
      <c r="AA23" s="26"/>
    </row>
    <row r="24" spans="1:27" ht="15.5" x14ac:dyDescent="0.35">
      <c r="A24" s="40" t="str">
        <f xml:space="preserve"> "Inverclyde " &amp;$B$5</f>
        <v>Inverclyde All time</v>
      </c>
      <c r="B24" s="136">
        <f>VLOOKUP($A24, 'Table 6 - Full data'!$A$2:$M$181,2,FALSE)</f>
        <v>4620</v>
      </c>
      <c r="C24" s="110">
        <f>VLOOKUP($A24, 'Table 6 - Full data'!$A$2:$M$181,3,FALSE)</f>
        <v>0.02</v>
      </c>
      <c r="D24" s="134">
        <f>VLOOKUP($A24, 'Table 6 - Full data'!$A$2:$M$181,4,FALSE)</f>
        <v>1435</v>
      </c>
      <c r="E24" s="134">
        <f>VLOOKUP($A24, 'Table 6 - Full data'!$A$2:$M$181,5,FALSE)</f>
        <v>1480</v>
      </c>
      <c r="F24" s="134">
        <f>VLOOKUP($A24, 'Table 6 - Full data'!$A$2:$M$181,6,FALSE)</f>
        <v>935</v>
      </c>
      <c r="G24" s="134">
        <f>VLOOKUP($A24, 'Table 6 - Full data'!$A$2:$M$181,7,FALSE)</f>
        <v>2240</v>
      </c>
      <c r="H24" s="134">
        <f>VLOOKUP($A24, 'Table 6 - Full data'!$A$2:$M$181,8,FALSE)</f>
        <v>665</v>
      </c>
      <c r="I24" s="110">
        <f>VLOOKUP($A24, 'Table 6 - Full data'!$A$2:$M$181,9,FALSE)</f>
        <v>0.31</v>
      </c>
      <c r="J24" s="110">
        <f>VLOOKUP($A24, 'Table 6 - Full data'!$A$2:$M$181,10,FALSE)</f>
        <v>0.32</v>
      </c>
      <c r="K24" s="110">
        <f>VLOOKUP($A24, 'Table 6 - Full data'!$A$2:$M$181,11,FALSE)</f>
        <v>0.2</v>
      </c>
      <c r="L24" s="110">
        <f>VLOOKUP($A24, 'Table 6 - Full data'!$A$2:$M$181,12,FALSE)</f>
        <v>0.48</v>
      </c>
      <c r="M24" s="110">
        <f>VLOOKUP($A24, 'Table 6 - Full data'!$A$2:$M$181,13,FALSE)</f>
        <v>0.14000000000000001</v>
      </c>
      <c r="N24" s="26"/>
      <c r="O24" s="26"/>
      <c r="P24" s="26"/>
      <c r="Q24" s="26"/>
      <c r="R24" s="26"/>
      <c r="S24" s="26"/>
      <c r="T24" s="26"/>
      <c r="U24" s="26"/>
      <c r="V24" s="26"/>
      <c r="W24" s="26"/>
      <c r="X24" s="26"/>
      <c r="Y24" s="26"/>
      <c r="Z24" s="26"/>
      <c r="AA24" s="26"/>
    </row>
    <row r="25" spans="1:27" ht="15.5" x14ac:dyDescent="0.35">
      <c r="A25" s="40" t="str">
        <f xml:space="preserve"> "Midlothian " &amp;$B$5</f>
        <v>Midlothian All time</v>
      </c>
      <c r="B25" s="136">
        <f>VLOOKUP($A25, 'Table 6 - Full data'!$A$2:$M$181,2,FALSE)</f>
        <v>4980</v>
      </c>
      <c r="C25" s="110">
        <f>VLOOKUP($A25, 'Table 6 - Full data'!$A$2:$M$181,3,FALSE)</f>
        <v>0.02</v>
      </c>
      <c r="D25" s="134">
        <f>VLOOKUP($A25, 'Table 6 - Full data'!$A$2:$M$181,4,FALSE)</f>
        <v>1585</v>
      </c>
      <c r="E25" s="134">
        <f>VLOOKUP($A25, 'Table 6 - Full data'!$A$2:$M$181,5,FALSE)</f>
        <v>1770</v>
      </c>
      <c r="F25" s="134">
        <f>VLOOKUP($A25, 'Table 6 - Full data'!$A$2:$M$181,6,FALSE)</f>
        <v>1150</v>
      </c>
      <c r="G25" s="134">
        <f>VLOOKUP($A25, 'Table 6 - Full data'!$A$2:$M$181,7,FALSE)</f>
        <v>2540</v>
      </c>
      <c r="H25" s="134">
        <f>VLOOKUP($A25, 'Table 6 - Full data'!$A$2:$M$181,8,FALSE)</f>
        <v>590</v>
      </c>
      <c r="I25" s="110">
        <f>VLOOKUP($A25, 'Table 6 - Full data'!$A$2:$M$181,9,FALSE)</f>
        <v>0.32</v>
      </c>
      <c r="J25" s="110">
        <f>VLOOKUP($A25, 'Table 6 - Full data'!$A$2:$M$181,10,FALSE)</f>
        <v>0.36</v>
      </c>
      <c r="K25" s="110">
        <f>VLOOKUP($A25, 'Table 6 - Full data'!$A$2:$M$181,11,FALSE)</f>
        <v>0.23</v>
      </c>
      <c r="L25" s="110">
        <f>VLOOKUP($A25, 'Table 6 - Full data'!$A$2:$M$181,12,FALSE)</f>
        <v>0.51</v>
      </c>
      <c r="M25" s="110">
        <f>VLOOKUP($A25, 'Table 6 - Full data'!$A$2:$M$181,13,FALSE)</f>
        <v>0.12</v>
      </c>
      <c r="N25" s="26"/>
      <c r="O25" s="26"/>
      <c r="P25" s="26"/>
      <c r="Q25" s="26"/>
      <c r="R25" s="26"/>
      <c r="S25" s="26"/>
      <c r="T25" s="26"/>
      <c r="U25" s="26"/>
      <c r="V25" s="26"/>
      <c r="W25" s="26"/>
      <c r="X25" s="26"/>
      <c r="Y25" s="26"/>
      <c r="Z25" s="26"/>
      <c r="AA25" s="26"/>
    </row>
    <row r="26" spans="1:27" ht="15.5" x14ac:dyDescent="0.35">
      <c r="A26" s="40" t="str">
        <f xml:space="preserve"> "Moray " &amp;$B$5</f>
        <v>Moray All time</v>
      </c>
      <c r="B26" s="136">
        <f>VLOOKUP($A26, 'Table 6 - Full data'!$A$2:$M$181,2,FALSE)</f>
        <v>3730</v>
      </c>
      <c r="C26" s="110">
        <f>VLOOKUP($A26, 'Table 6 - Full data'!$A$2:$M$181,3,FALSE)</f>
        <v>0.01</v>
      </c>
      <c r="D26" s="134">
        <f>VLOOKUP($A26, 'Table 6 - Full data'!$A$2:$M$181,4,FALSE)</f>
        <v>1270</v>
      </c>
      <c r="E26" s="134">
        <f>VLOOKUP($A26, 'Table 6 - Full data'!$A$2:$M$181,5,FALSE)</f>
        <v>1220</v>
      </c>
      <c r="F26" s="134">
        <f>VLOOKUP($A26, 'Table 6 - Full data'!$A$2:$M$181,6,FALSE)</f>
        <v>885</v>
      </c>
      <c r="G26" s="134">
        <f>VLOOKUP($A26, 'Table 6 - Full data'!$A$2:$M$181,7,FALSE)</f>
        <v>1955</v>
      </c>
      <c r="H26" s="134">
        <f>VLOOKUP($A26, 'Table 6 - Full data'!$A$2:$M$181,8,FALSE)</f>
        <v>400</v>
      </c>
      <c r="I26" s="110">
        <f>VLOOKUP($A26, 'Table 6 - Full data'!$A$2:$M$181,9,FALSE)</f>
        <v>0.34</v>
      </c>
      <c r="J26" s="110">
        <f>VLOOKUP($A26, 'Table 6 - Full data'!$A$2:$M$181,10,FALSE)</f>
        <v>0.33</v>
      </c>
      <c r="K26" s="110">
        <f>VLOOKUP($A26, 'Table 6 - Full data'!$A$2:$M$181,11,FALSE)</f>
        <v>0.24</v>
      </c>
      <c r="L26" s="110">
        <f>VLOOKUP($A26, 'Table 6 - Full data'!$A$2:$M$181,12,FALSE)</f>
        <v>0.52</v>
      </c>
      <c r="M26" s="110">
        <f>VLOOKUP($A26, 'Table 6 - Full data'!$A$2:$M$181,13,FALSE)</f>
        <v>0.11</v>
      </c>
      <c r="N26" s="26"/>
      <c r="O26" s="26"/>
      <c r="P26" s="26"/>
      <c r="Q26" s="26"/>
      <c r="R26" s="26"/>
      <c r="S26" s="26"/>
      <c r="T26" s="26"/>
      <c r="U26" s="26"/>
      <c r="V26" s="26"/>
      <c r="W26" s="26"/>
      <c r="X26" s="26"/>
      <c r="Y26" s="26"/>
      <c r="Z26" s="26"/>
      <c r="AA26" s="26"/>
    </row>
    <row r="27" spans="1:27" ht="15.5" x14ac:dyDescent="0.35">
      <c r="A27" s="40" t="str">
        <f xml:space="preserve"> "Na h-Eileanan Siar " &amp;$B$5</f>
        <v>Na h-Eileanan Siar All time</v>
      </c>
      <c r="B27" s="136">
        <f>VLOOKUP($A27, 'Table 6 - Full data'!$A$2:$M$181,2,FALSE)</f>
        <v>810</v>
      </c>
      <c r="C27" s="110">
        <f>VLOOKUP($A27, 'Table 6 - Full data'!$A$2:$M$181,3,FALSE)</f>
        <v>0</v>
      </c>
      <c r="D27" s="134">
        <f>VLOOKUP($A27, 'Table 6 - Full data'!$A$2:$M$181,4,FALSE)</f>
        <v>300</v>
      </c>
      <c r="E27" s="134">
        <f>VLOOKUP($A27, 'Table 6 - Full data'!$A$2:$M$181,5,FALSE)</f>
        <v>285</v>
      </c>
      <c r="F27" s="134">
        <f>VLOOKUP($A27, 'Table 6 - Full data'!$A$2:$M$181,6,FALSE)</f>
        <v>175</v>
      </c>
      <c r="G27" s="134">
        <f>VLOOKUP($A27, 'Table 6 - Full data'!$A$2:$M$181,7,FALSE)</f>
        <v>420</v>
      </c>
      <c r="H27" s="134">
        <f>VLOOKUP($A27, 'Table 6 - Full data'!$A$2:$M$181,8,FALSE)</f>
        <v>90</v>
      </c>
      <c r="I27" s="110">
        <f>VLOOKUP($A27, 'Table 6 - Full data'!$A$2:$M$181,9,FALSE)</f>
        <v>0.37</v>
      </c>
      <c r="J27" s="110">
        <f>VLOOKUP($A27, 'Table 6 - Full data'!$A$2:$M$181,10,FALSE)</f>
        <v>0.35</v>
      </c>
      <c r="K27" s="110">
        <f>VLOOKUP($A27, 'Table 6 - Full data'!$A$2:$M$181,11,FALSE)</f>
        <v>0.22</v>
      </c>
      <c r="L27" s="110">
        <f>VLOOKUP($A27, 'Table 6 - Full data'!$A$2:$M$181,12,FALSE)</f>
        <v>0.52</v>
      </c>
      <c r="M27" s="110">
        <f>VLOOKUP($A27, 'Table 6 - Full data'!$A$2:$M$181,13,FALSE)</f>
        <v>0.11</v>
      </c>
      <c r="N27" s="26"/>
      <c r="O27" s="26"/>
      <c r="P27" s="26"/>
      <c r="Q27" s="26"/>
      <c r="R27" s="26"/>
      <c r="S27" s="26"/>
      <c r="T27" s="26"/>
      <c r="U27" s="26"/>
      <c r="V27" s="26"/>
      <c r="W27" s="26"/>
      <c r="X27" s="26"/>
      <c r="Y27" s="26"/>
      <c r="Z27" s="26"/>
      <c r="AA27" s="26"/>
    </row>
    <row r="28" spans="1:27" ht="15.5" x14ac:dyDescent="0.35">
      <c r="A28" s="40" t="str">
        <f xml:space="preserve"> "North Ayrshire " &amp;$B$5</f>
        <v>North Ayrshire All time</v>
      </c>
      <c r="B28" s="136">
        <f>VLOOKUP($A28, 'Table 6 - Full data'!$A$2:$M$181,2,FALSE)</f>
        <v>9005</v>
      </c>
      <c r="C28" s="110">
        <f>VLOOKUP($A28, 'Table 6 - Full data'!$A$2:$M$181,3,FALSE)</f>
        <v>0.03</v>
      </c>
      <c r="D28" s="134">
        <f>VLOOKUP($A28, 'Table 6 - Full data'!$A$2:$M$181,4,FALSE)</f>
        <v>2860</v>
      </c>
      <c r="E28" s="134">
        <f>VLOOKUP($A28, 'Table 6 - Full data'!$A$2:$M$181,5,FALSE)</f>
        <v>3080</v>
      </c>
      <c r="F28" s="134">
        <f>VLOOKUP($A28, 'Table 6 - Full data'!$A$2:$M$181,6,FALSE)</f>
        <v>1945</v>
      </c>
      <c r="G28" s="134">
        <f>VLOOKUP($A28, 'Table 6 - Full data'!$A$2:$M$181,7,FALSE)</f>
        <v>4510</v>
      </c>
      <c r="H28" s="134">
        <f>VLOOKUP($A28, 'Table 6 - Full data'!$A$2:$M$181,8,FALSE)</f>
        <v>1110</v>
      </c>
      <c r="I28" s="110">
        <f>VLOOKUP($A28, 'Table 6 - Full data'!$A$2:$M$181,9,FALSE)</f>
        <v>0.32</v>
      </c>
      <c r="J28" s="110">
        <f>VLOOKUP($A28, 'Table 6 - Full data'!$A$2:$M$181,10,FALSE)</f>
        <v>0.34</v>
      </c>
      <c r="K28" s="110">
        <f>VLOOKUP($A28, 'Table 6 - Full data'!$A$2:$M$181,11,FALSE)</f>
        <v>0.22</v>
      </c>
      <c r="L28" s="110">
        <f>VLOOKUP($A28, 'Table 6 - Full data'!$A$2:$M$181,12,FALSE)</f>
        <v>0.5</v>
      </c>
      <c r="M28" s="110">
        <f>VLOOKUP($A28, 'Table 6 - Full data'!$A$2:$M$181,13,FALSE)</f>
        <v>0.12</v>
      </c>
      <c r="N28" s="26"/>
      <c r="O28" s="26"/>
      <c r="P28" s="26"/>
      <c r="Q28" s="26"/>
      <c r="R28" s="26"/>
      <c r="S28" s="26"/>
      <c r="T28" s="26"/>
      <c r="U28" s="26"/>
      <c r="V28" s="26"/>
      <c r="W28" s="26"/>
      <c r="X28" s="26"/>
      <c r="Y28" s="26"/>
      <c r="Z28" s="26"/>
      <c r="AA28" s="26"/>
    </row>
    <row r="29" spans="1:27" ht="15.5" x14ac:dyDescent="0.35">
      <c r="A29" s="40" t="str">
        <f xml:space="preserve"> "North Lanarkshire " &amp;$B$5</f>
        <v>North Lanarkshire All time</v>
      </c>
      <c r="B29" s="136">
        <f>VLOOKUP($A29, 'Table 6 - Full data'!$A$2:$M$181,2,FALSE)</f>
        <v>21535</v>
      </c>
      <c r="C29" s="110">
        <f>VLOOKUP($A29, 'Table 6 - Full data'!$A$2:$M$181,3,FALSE)</f>
        <v>0.08</v>
      </c>
      <c r="D29" s="134">
        <f>VLOOKUP($A29, 'Table 6 - Full data'!$A$2:$M$181,4,FALSE)</f>
        <v>7010</v>
      </c>
      <c r="E29" s="134">
        <f>VLOOKUP($A29, 'Table 6 - Full data'!$A$2:$M$181,5,FALSE)</f>
        <v>7115</v>
      </c>
      <c r="F29" s="134">
        <f>VLOOKUP($A29, 'Table 6 - Full data'!$A$2:$M$181,6,FALSE)</f>
        <v>4735</v>
      </c>
      <c r="G29" s="134">
        <f>VLOOKUP($A29, 'Table 6 - Full data'!$A$2:$M$181,7,FALSE)</f>
        <v>10845</v>
      </c>
      <c r="H29" s="134">
        <f>VLOOKUP($A29, 'Table 6 - Full data'!$A$2:$M$181,8,FALSE)</f>
        <v>2720</v>
      </c>
      <c r="I29" s="110">
        <f>VLOOKUP($A29, 'Table 6 - Full data'!$A$2:$M$181,9,FALSE)</f>
        <v>0.33</v>
      </c>
      <c r="J29" s="110">
        <f>VLOOKUP($A29, 'Table 6 - Full data'!$A$2:$M$181,10,FALSE)</f>
        <v>0.33</v>
      </c>
      <c r="K29" s="110">
        <f>VLOOKUP($A29, 'Table 6 - Full data'!$A$2:$M$181,11,FALSE)</f>
        <v>0.22</v>
      </c>
      <c r="L29" s="110">
        <f>VLOOKUP($A29, 'Table 6 - Full data'!$A$2:$M$181,12,FALSE)</f>
        <v>0.5</v>
      </c>
      <c r="M29" s="110">
        <f>VLOOKUP($A29, 'Table 6 - Full data'!$A$2:$M$181,13,FALSE)</f>
        <v>0.13</v>
      </c>
      <c r="N29" s="26"/>
      <c r="O29" s="26"/>
      <c r="P29" s="26"/>
      <c r="Q29" s="26"/>
      <c r="R29" s="26"/>
      <c r="S29" s="26"/>
      <c r="T29" s="26"/>
      <c r="U29" s="26"/>
      <c r="V29" s="26"/>
      <c r="W29" s="26"/>
      <c r="X29" s="26"/>
      <c r="Y29" s="26"/>
      <c r="Z29" s="26"/>
      <c r="AA29" s="26"/>
    </row>
    <row r="30" spans="1:27" ht="15.5" x14ac:dyDescent="0.35">
      <c r="A30" s="40" t="str">
        <f xml:space="preserve"> "Orkney Islands " &amp;$B$5</f>
        <v>Orkney Islands All time</v>
      </c>
      <c r="B30" s="136">
        <f>VLOOKUP($A30, 'Table 6 - Full data'!$A$2:$M$181,2,FALSE)</f>
        <v>575</v>
      </c>
      <c r="C30" s="110">
        <f>VLOOKUP($A30, 'Table 6 - Full data'!$A$2:$M$181,3,FALSE)</f>
        <v>0</v>
      </c>
      <c r="D30" s="134">
        <f>VLOOKUP($A30, 'Table 6 - Full data'!$A$2:$M$181,4,FALSE)</f>
        <v>205</v>
      </c>
      <c r="E30" s="134">
        <f>VLOOKUP($A30, 'Table 6 - Full data'!$A$2:$M$181,5,FALSE)</f>
        <v>190</v>
      </c>
      <c r="F30" s="134">
        <f>VLOOKUP($A30, 'Table 6 - Full data'!$A$2:$M$181,6,FALSE)</f>
        <v>150</v>
      </c>
      <c r="G30" s="134">
        <f>VLOOKUP($A30, 'Table 6 - Full data'!$A$2:$M$181,7,FALSE)</f>
        <v>295</v>
      </c>
      <c r="H30" s="134">
        <f>VLOOKUP($A30, 'Table 6 - Full data'!$A$2:$M$181,8,FALSE)</f>
        <v>45</v>
      </c>
      <c r="I30" s="110">
        <f>VLOOKUP($A30, 'Table 6 - Full data'!$A$2:$M$181,9,FALSE)</f>
        <v>0.36</v>
      </c>
      <c r="J30" s="110">
        <f>VLOOKUP($A30, 'Table 6 - Full data'!$A$2:$M$181,10,FALSE)</f>
        <v>0.33</v>
      </c>
      <c r="K30" s="110">
        <f>VLOOKUP($A30, 'Table 6 - Full data'!$A$2:$M$181,11,FALSE)</f>
        <v>0.27</v>
      </c>
      <c r="L30" s="110">
        <f>VLOOKUP($A30, 'Table 6 - Full data'!$A$2:$M$181,12,FALSE)</f>
        <v>0.51</v>
      </c>
      <c r="M30" s="110">
        <f>VLOOKUP($A30, 'Table 6 - Full data'!$A$2:$M$181,13,FALSE)</f>
        <v>0.08</v>
      </c>
      <c r="N30" s="26"/>
      <c r="O30" s="26"/>
      <c r="P30" s="26"/>
      <c r="Q30" s="26"/>
      <c r="R30" s="26"/>
      <c r="S30" s="26"/>
      <c r="T30" s="26"/>
      <c r="U30" s="26"/>
      <c r="V30" s="26"/>
      <c r="W30" s="26"/>
      <c r="X30" s="26"/>
      <c r="Y30" s="26"/>
      <c r="Z30" s="26"/>
      <c r="AA30" s="26"/>
    </row>
    <row r="31" spans="1:27" ht="15.5" x14ac:dyDescent="0.35">
      <c r="A31" s="40" t="str">
        <f xml:space="preserve"> "Perth &amp; Kinross " &amp;$B$5</f>
        <v>Perth &amp; Kinross All time</v>
      </c>
      <c r="B31" s="136">
        <f>VLOOKUP($A31, 'Table 6 - Full data'!$A$2:$M$181,2,FALSE)</f>
        <v>5325</v>
      </c>
      <c r="C31" s="110">
        <f>VLOOKUP($A31, 'Table 6 - Full data'!$A$2:$M$181,3,FALSE)</f>
        <v>0.02</v>
      </c>
      <c r="D31" s="134">
        <f>VLOOKUP($A31, 'Table 6 - Full data'!$A$2:$M$181,4,FALSE)</f>
        <v>1865</v>
      </c>
      <c r="E31" s="134">
        <f>VLOOKUP($A31, 'Table 6 - Full data'!$A$2:$M$181,5,FALSE)</f>
        <v>1835</v>
      </c>
      <c r="F31" s="134">
        <f>VLOOKUP($A31, 'Table 6 - Full data'!$A$2:$M$181,6,FALSE)</f>
        <v>1240</v>
      </c>
      <c r="G31" s="134">
        <f>VLOOKUP($A31, 'Table 6 - Full data'!$A$2:$M$181,7,FALSE)</f>
        <v>2755</v>
      </c>
      <c r="H31" s="134">
        <f>VLOOKUP($A31, 'Table 6 - Full data'!$A$2:$M$181,8,FALSE)</f>
        <v>535</v>
      </c>
      <c r="I31" s="110">
        <f>VLOOKUP($A31, 'Table 6 - Full data'!$A$2:$M$181,9,FALSE)</f>
        <v>0.35</v>
      </c>
      <c r="J31" s="110">
        <f>VLOOKUP($A31, 'Table 6 - Full data'!$A$2:$M$181,10,FALSE)</f>
        <v>0.34</v>
      </c>
      <c r="K31" s="110">
        <f>VLOOKUP($A31, 'Table 6 - Full data'!$A$2:$M$181,11,FALSE)</f>
        <v>0.23</v>
      </c>
      <c r="L31" s="110">
        <f>VLOOKUP($A31, 'Table 6 - Full data'!$A$2:$M$181,12,FALSE)</f>
        <v>0.52</v>
      </c>
      <c r="M31" s="110">
        <f>VLOOKUP($A31, 'Table 6 - Full data'!$A$2:$M$181,13,FALSE)</f>
        <v>0.1</v>
      </c>
      <c r="N31" s="26"/>
      <c r="O31" s="26"/>
      <c r="P31" s="26"/>
      <c r="Q31" s="26"/>
      <c r="R31" s="26"/>
      <c r="S31" s="26"/>
      <c r="T31" s="26"/>
      <c r="U31" s="26"/>
      <c r="V31" s="26"/>
      <c r="W31" s="26"/>
      <c r="X31" s="26"/>
      <c r="Y31" s="26"/>
      <c r="Z31" s="26"/>
      <c r="AA31" s="26"/>
    </row>
    <row r="32" spans="1:27" ht="15.5" x14ac:dyDescent="0.35">
      <c r="A32" s="40" t="str">
        <f xml:space="preserve"> "Renfrewshire " &amp;$B$5</f>
        <v>Renfrewshire All time</v>
      </c>
      <c r="B32" s="136">
        <f>VLOOKUP($A32, 'Table 6 - Full data'!$A$2:$M$181,2,FALSE)</f>
        <v>8980</v>
      </c>
      <c r="C32" s="110">
        <f>VLOOKUP($A32, 'Table 6 - Full data'!$A$2:$M$181,3,FALSE)</f>
        <v>0.03</v>
      </c>
      <c r="D32" s="134">
        <f>VLOOKUP($A32, 'Table 6 - Full data'!$A$2:$M$181,4,FALSE)</f>
        <v>2845</v>
      </c>
      <c r="E32" s="134">
        <f>VLOOKUP($A32, 'Table 6 - Full data'!$A$2:$M$181,5,FALSE)</f>
        <v>3010</v>
      </c>
      <c r="F32" s="134">
        <f>VLOOKUP($A32, 'Table 6 - Full data'!$A$2:$M$181,6,FALSE)</f>
        <v>1975</v>
      </c>
      <c r="G32" s="134">
        <f>VLOOKUP($A32, 'Table 6 - Full data'!$A$2:$M$181,7,FALSE)</f>
        <v>4475</v>
      </c>
      <c r="H32" s="134">
        <f>VLOOKUP($A32, 'Table 6 - Full data'!$A$2:$M$181,8,FALSE)</f>
        <v>1045</v>
      </c>
      <c r="I32" s="110">
        <f>VLOOKUP($A32, 'Table 6 - Full data'!$A$2:$M$181,9,FALSE)</f>
        <v>0.32</v>
      </c>
      <c r="J32" s="110">
        <f>VLOOKUP($A32, 'Table 6 - Full data'!$A$2:$M$181,10,FALSE)</f>
        <v>0.34</v>
      </c>
      <c r="K32" s="110">
        <f>VLOOKUP($A32, 'Table 6 - Full data'!$A$2:$M$181,11,FALSE)</f>
        <v>0.22</v>
      </c>
      <c r="L32" s="110">
        <f>VLOOKUP($A32, 'Table 6 - Full data'!$A$2:$M$181,12,FALSE)</f>
        <v>0.5</v>
      </c>
      <c r="M32" s="110">
        <f>VLOOKUP($A32, 'Table 6 - Full data'!$A$2:$M$181,13,FALSE)</f>
        <v>0.12</v>
      </c>
      <c r="N32" s="26"/>
      <c r="O32" s="26"/>
      <c r="P32" s="26"/>
      <c r="Q32" s="26"/>
      <c r="R32" s="26"/>
      <c r="S32" s="26"/>
      <c r="T32" s="26"/>
      <c r="U32" s="26"/>
      <c r="V32" s="26"/>
      <c r="W32" s="26"/>
      <c r="X32" s="26"/>
      <c r="Y32" s="26"/>
      <c r="Z32" s="26"/>
      <c r="AA32" s="26"/>
    </row>
    <row r="33" spans="1:27" ht="15.5" x14ac:dyDescent="0.35">
      <c r="A33" s="40" t="str">
        <f xml:space="preserve"> "Scottish Borders " &amp;$B$5</f>
        <v>Scottish Borders All time</v>
      </c>
      <c r="B33" s="136">
        <f>VLOOKUP($A33, 'Table 6 - Full data'!$A$2:$M$181,2,FALSE)</f>
        <v>4325</v>
      </c>
      <c r="C33" s="110">
        <f>VLOOKUP($A33, 'Table 6 - Full data'!$A$2:$M$181,3,FALSE)</f>
        <v>0.02</v>
      </c>
      <c r="D33" s="134">
        <f>VLOOKUP($A33, 'Table 6 - Full data'!$A$2:$M$181,4,FALSE)</f>
        <v>1385</v>
      </c>
      <c r="E33" s="134">
        <f>VLOOKUP($A33, 'Table 6 - Full data'!$A$2:$M$181,5,FALSE)</f>
        <v>1475</v>
      </c>
      <c r="F33" s="134">
        <f>VLOOKUP($A33, 'Table 6 - Full data'!$A$2:$M$181,6,FALSE)</f>
        <v>1065</v>
      </c>
      <c r="G33" s="134">
        <f>VLOOKUP($A33, 'Table 6 - Full data'!$A$2:$M$181,7,FALSE)</f>
        <v>2150</v>
      </c>
      <c r="H33" s="134">
        <f>VLOOKUP($A33, 'Table 6 - Full data'!$A$2:$M$181,8,FALSE)</f>
        <v>460</v>
      </c>
      <c r="I33" s="110">
        <f>VLOOKUP($A33, 'Table 6 - Full data'!$A$2:$M$181,9,FALSE)</f>
        <v>0.32</v>
      </c>
      <c r="J33" s="110">
        <f>VLOOKUP($A33, 'Table 6 - Full data'!$A$2:$M$181,10,FALSE)</f>
        <v>0.34</v>
      </c>
      <c r="K33" s="110">
        <f>VLOOKUP($A33, 'Table 6 - Full data'!$A$2:$M$181,11,FALSE)</f>
        <v>0.25</v>
      </c>
      <c r="L33" s="110">
        <f>VLOOKUP($A33, 'Table 6 - Full data'!$A$2:$M$181,12,FALSE)</f>
        <v>0.5</v>
      </c>
      <c r="M33" s="110">
        <f>VLOOKUP($A33, 'Table 6 - Full data'!$A$2:$M$181,13,FALSE)</f>
        <v>0.11</v>
      </c>
      <c r="N33" s="26"/>
      <c r="O33" s="26"/>
      <c r="P33" s="26"/>
      <c r="Q33" s="26"/>
      <c r="R33" s="26"/>
      <c r="S33" s="26"/>
      <c r="T33" s="26"/>
      <c r="U33" s="26"/>
      <c r="V33" s="26"/>
      <c r="W33" s="26"/>
      <c r="X33" s="26"/>
      <c r="Y33" s="26"/>
      <c r="Z33" s="26"/>
      <c r="AA33" s="26"/>
    </row>
    <row r="34" spans="1:27" ht="15.5" x14ac:dyDescent="0.35">
      <c r="A34" s="40" t="str">
        <f xml:space="preserve"> "Shetland Islands " &amp;$B$5</f>
        <v>Shetland Islands All time</v>
      </c>
      <c r="B34" s="136">
        <f>VLOOKUP($A34, 'Table 6 - Full data'!$A$2:$M$181,2,FALSE)</f>
        <v>530</v>
      </c>
      <c r="C34" s="110">
        <f>VLOOKUP($A34, 'Table 6 - Full data'!$A$2:$M$181,3,FALSE)</f>
        <v>0</v>
      </c>
      <c r="D34" s="134">
        <f>VLOOKUP($A34, 'Table 6 - Full data'!$A$2:$M$181,4,FALSE)</f>
        <v>170</v>
      </c>
      <c r="E34" s="134">
        <f>VLOOKUP($A34, 'Table 6 - Full data'!$A$2:$M$181,5,FALSE)</f>
        <v>205</v>
      </c>
      <c r="F34" s="134">
        <f>VLOOKUP($A34, 'Table 6 - Full data'!$A$2:$M$181,6,FALSE)</f>
        <v>130</v>
      </c>
      <c r="G34" s="134">
        <f>VLOOKUP($A34, 'Table 6 - Full data'!$A$2:$M$181,7,FALSE)</f>
        <v>275</v>
      </c>
      <c r="H34" s="134">
        <f>VLOOKUP($A34, 'Table 6 - Full data'!$A$2:$M$181,8,FALSE)</f>
        <v>45</v>
      </c>
      <c r="I34" s="110">
        <f>VLOOKUP($A34, 'Table 6 - Full data'!$A$2:$M$181,9,FALSE)</f>
        <v>0.32</v>
      </c>
      <c r="J34" s="110">
        <f>VLOOKUP($A34, 'Table 6 - Full data'!$A$2:$M$181,10,FALSE)</f>
        <v>0.39</v>
      </c>
      <c r="K34" s="110">
        <f>VLOOKUP($A34, 'Table 6 - Full data'!$A$2:$M$181,11,FALSE)</f>
        <v>0.24</v>
      </c>
      <c r="L34" s="110">
        <f>VLOOKUP($A34, 'Table 6 - Full data'!$A$2:$M$181,12,FALSE)</f>
        <v>0.52</v>
      </c>
      <c r="M34" s="110">
        <f>VLOOKUP($A34, 'Table 6 - Full data'!$A$2:$M$181,13,FALSE)</f>
        <v>0.09</v>
      </c>
      <c r="N34" s="26"/>
      <c r="O34" s="26"/>
      <c r="P34" s="26"/>
      <c r="Q34" s="26"/>
      <c r="R34" s="26"/>
      <c r="S34" s="26"/>
      <c r="T34" s="26"/>
      <c r="U34" s="26"/>
      <c r="V34" s="26"/>
      <c r="W34" s="26"/>
      <c r="X34" s="26"/>
      <c r="Y34" s="26"/>
      <c r="Z34" s="26"/>
      <c r="AA34" s="26"/>
    </row>
    <row r="35" spans="1:27" ht="15.5" x14ac:dyDescent="0.35">
      <c r="A35" s="40" t="str">
        <f xml:space="preserve"> "South Ayrshire " &amp;$B$5</f>
        <v>South Ayrshire All time</v>
      </c>
      <c r="B35" s="136">
        <f>VLOOKUP($A35, 'Table 6 - Full data'!$A$2:$M$181,2,FALSE)</f>
        <v>5360</v>
      </c>
      <c r="C35" s="110">
        <f>VLOOKUP($A35, 'Table 6 - Full data'!$A$2:$M$181,3,FALSE)</f>
        <v>0.02</v>
      </c>
      <c r="D35" s="134">
        <f>VLOOKUP($A35, 'Table 6 - Full data'!$A$2:$M$181,4,FALSE)</f>
        <v>1695</v>
      </c>
      <c r="E35" s="134">
        <f>VLOOKUP($A35, 'Table 6 - Full data'!$A$2:$M$181,5,FALSE)</f>
        <v>1775</v>
      </c>
      <c r="F35" s="134">
        <f>VLOOKUP($A35, 'Table 6 - Full data'!$A$2:$M$181,6,FALSE)</f>
        <v>1265</v>
      </c>
      <c r="G35" s="134">
        <f>VLOOKUP($A35, 'Table 6 - Full data'!$A$2:$M$181,7,FALSE)</f>
        <v>2640</v>
      </c>
      <c r="H35" s="134">
        <f>VLOOKUP($A35, 'Table 6 - Full data'!$A$2:$M$181,8,FALSE)</f>
        <v>680</v>
      </c>
      <c r="I35" s="110">
        <f>VLOOKUP($A35, 'Table 6 - Full data'!$A$2:$M$181,9,FALSE)</f>
        <v>0.32</v>
      </c>
      <c r="J35" s="110">
        <f>VLOOKUP($A35, 'Table 6 - Full data'!$A$2:$M$181,10,FALSE)</f>
        <v>0.33</v>
      </c>
      <c r="K35" s="110">
        <f>VLOOKUP($A35, 'Table 6 - Full data'!$A$2:$M$181,11,FALSE)</f>
        <v>0.24</v>
      </c>
      <c r="L35" s="110">
        <f>VLOOKUP($A35, 'Table 6 - Full data'!$A$2:$M$181,12,FALSE)</f>
        <v>0.49</v>
      </c>
      <c r="M35" s="110">
        <f>VLOOKUP($A35, 'Table 6 - Full data'!$A$2:$M$181,13,FALSE)</f>
        <v>0.13</v>
      </c>
      <c r="N35" s="26"/>
      <c r="O35" s="26"/>
      <c r="P35" s="26"/>
      <c r="Q35" s="26"/>
      <c r="R35" s="26"/>
      <c r="S35" s="26"/>
      <c r="T35" s="26"/>
      <c r="U35" s="26"/>
      <c r="V35" s="26"/>
      <c r="W35" s="26"/>
      <c r="X35" s="26"/>
      <c r="Y35" s="26"/>
      <c r="Z35" s="26"/>
      <c r="AA35" s="26"/>
    </row>
    <row r="36" spans="1:27" ht="15.5" x14ac:dyDescent="0.35">
      <c r="A36" s="40" t="str">
        <f xml:space="preserve"> "South Lanarkshire " &amp;$B$5</f>
        <v>South Lanarkshire All time</v>
      </c>
      <c r="B36" s="136">
        <f>VLOOKUP($A36, 'Table 6 - Full data'!$A$2:$M$181,2,FALSE)</f>
        <v>16055</v>
      </c>
      <c r="C36" s="110">
        <f>VLOOKUP($A36, 'Table 6 - Full data'!$A$2:$M$181,3,FALSE)</f>
        <v>0.06</v>
      </c>
      <c r="D36" s="134">
        <f>VLOOKUP($A36, 'Table 6 - Full data'!$A$2:$M$181,4,FALSE)</f>
        <v>5415</v>
      </c>
      <c r="E36" s="134">
        <f>VLOOKUP($A36, 'Table 6 - Full data'!$A$2:$M$181,5,FALSE)</f>
        <v>5370</v>
      </c>
      <c r="F36" s="134">
        <f>VLOOKUP($A36, 'Table 6 - Full data'!$A$2:$M$181,6,FALSE)</f>
        <v>3505</v>
      </c>
      <c r="G36" s="134">
        <f>VLOOKUP($A36, 'Table 6 - Full data'!$A$2:$M$181,7,FALSE)</f>
        <v>8030</v>
      </c>
      <c r="H36" s="134">
        <f>VLOOKUP($A36, 'Table 6 - Full data'!$A$2:$M$181,8,FALSE)</f>
        <v>1875</v>
      </c>
      <c r="I36" s="110">
        <f>VLOOKUP($A36, 'Table 6 - Full data'!$A$2:$M$181,9,FALSE)</f>
        <v>0.34</v>
      </c>
      <c r="J36" s="110">
        <f>VLOOKUP($A36, 'Table 6 - Full data'!$A$2:$M$181,10,FALSE)</f>
        <v>0.33</v>
      </c>
      <c r="K36" s="110">
        <f>VLOOKUP($A36, 'Table 6 - Full data'!$A$2:$M$181,11,FALSE)</f>
        <v>0.22</v>
      </c>
      <c r="L36" s="110">
        <f>VLOOKUP($A36, 'Table 6 - Full data'!$A$2:$M$181,12,FALSE)</f>
        <v>0.5</v>
      </c>
      <c r="M36" s="110">
        <f>VLOOKUP($A36, 'Table 6 - Full data'!$A$2:$M$181,13,FALSE)</f>
        <v>0.12</v>
      </c>
      <c r="N36" s="26"/>
      <c r="O36" s="26"/>
      <c r="P36" s="26"/>
      <c r="Q36" s="26"/>
      <c r="R36" s="26"/>
      <c r="S36" s="26"/>
      <c r="T36" s="26"/>
      <c r="U36" s="26"/>
      <c r="V36" s="26"/>
      <c r="W36" s="26"/>
      <c r="X36" s="26"/>
      <c r="Y36" s="26"/>
      <c r="Z36" s="26"/>
      <c r="AA36" s="26"/>
    </row>
    <row r="37" spans="1:27" ht="15.5" x14ac:dyDescent="0.35">
      <c r="A37" s="40" t="str">
        <f xml:space="preserve"> "Stirling " &amp;$B$5</f>
        <v>Stirling All time</v>
      </c>
      <c r="B37" s="136">
        <f>VLOOKUP($A37, 'Table 6 - Full data'!$A$2:$M$181,2,FALSE)</f>
        <v>3000</v>
      </c>
      <c r="C37" s="110">
        <f>VLOOKUP($A37, 'Table 6 - Full data'!$A$2:$M$181,3,FALSE)</f>
        <v>0.01</v>
      </c>
      <c r="D37" s="134">
        <f>VLOOKUP($A37, 'Table 6 - Full data'!$A$2:$M$181,4,FALSE)</f>
        <v>1035</v>
      </c>
      <c r="E37" s="134">
        <f>VLOOKUP($A37, 'Table 6 - Full data'!$A$2:$M$181,5,FALSE)</f>
        <v>1020</v>
      </c>
      <c r="F37" s="134">
        <f>VLOOKUP($A37, 'Table 6 - Full data'!$A$2:$M$181,6,FALSE)</f>
        <v>635</v>
      </c>
      <c r="G37" s="134">
        <f>VLOOKUP($A37, 'Table 6 - Full data'!$A$2:$M$181,7,FALSE)</f>
        <v>1585</v>
      </c>
      <c r="H37" s="134">
        <f>VLOOKUP($A37, 'Table 6 - Full data'!$A$2:$M$181,8,FALSE)</f>
        <v>335</v>
      </c>
      <c r="I37" s="110">
        <f>VLOOKUP($A37, 'Table 6 - Full data'!$A$2:$M$181,9,FALSE)</f>
        <v>0.34</v>
      </c>
      <c r="J37" s="110">
        <f>VLOOKUP($A37, 'Table 6 - Full data'!$A$2:$M$181,10,FALSE)</f>
        <v>0.34</v>
      </c>
      <c r="K37" s="110">
        <f>VLOOKUP($A37, 'Table 6 - Full data'!$A$2:$M$181,11,FALSE)</f>
        <v>0.21</v>
      </c>
      <c r="L37" s="110">
        <f>VLOOKUP($A37, 'Table 6 - Full data'!$A$2:$M$181,12,FALSE)</f>
        <v>0.53</v>
      </c>
      <c r="M37" s="110">
        <f>VLOOKUP($A37, 'Table 6 - Full data'!$A$2:$M$181,13,FALSE)</f>
        <v>0.11</v>
      </c>
      <c r="N37" s="26"/>
      <c r="O37" s="26"/>
      <c r="P37" s="26"/>
      <c r="Q37" s="26"/>
      <c r="R37" s="26"/>
      <c r="S37" s="26"/>
      <c r="T37" s="26"/>
      <c r="U37" s="26"/>
      <c r="V37" s="26"/>
      <c r="W37" s="26"/>
      <c r="X37" s="26"/>
      <c r="Y37" s="26"/>
      <c r="Z37" s="26"/>
      <c r="AA37" s="26"/>
    </row>
    <row r="38" spans="1:27" ht="15.5" x14ac:dyDescent="0.35">
      <c r="A38" s="40" t="str">
        <f xml:space="preserve"> "West Dunbartonshire " &amp;$B$5</f>
        <v>West Dunbartonshire All time</v>
      </c>
      <c r="B38" s="136">
        <f>VLOOKUP($A38, 'Table 6 - Full data'!$A$2:$M$181,2,FALSE)</f>
        <v>6535</v>
      </c>
      <c r="C38" s="110">
        <f>VLOOKUP($A38, 'Table 6 - Full data'!$A$2:$M$181,3,FALSE)</f>
        <v>0.02</v>
      </c>
      <c r="D38" s="134">
        <f>VLOOKUP($A38, 'Table 6 - Full data'!$A$2:$M$181,4,FALSE)</f>
        <v>2015</v>
      </c>
      <c r="E38" s="134">
        <f>VLOOKUP($A38, 'Table 6 - Full data'!$A$2:$M$181,5,FALSE)</f>
        <v>2115</v>
      </c>
      <c r="F38" s="134">
        <f>VLOOKUP($A38, 'Table 6 - Full data'!$A$2:$M$181,6,FALSE)</f>
        <v>1445</v>
      </c>
      <c r="G38" s="134">
        <f>VLOOKUP($A38, 'Table 6 - Full data'!$A$2:$M$181,7,FALSE)</f>
        <v>3155</v>
      </c>
      <c r="H38" s="134">
        <f>VLOOKUP($A38, 'Table 6 - Full data'!$A$2:$M$181,8,FALSE)</f>
        <v>875</v>
      </c>
      <c r="I38" s="110">
        <f>VLOOKUP($A38, 'Table 6 - Full data'!$A$2:$M$181,9,FALSE)</f>
        <v>0.31</v>
      </c>
      <c r="J38" s="110">
        <f>VLOOKUP($A38, 'Table 6 - Full data'!$A$2:$M$181,10,FALSE)</f>
        <v>0.32</v>
      </c>
      <c r="K38" s="110">
        <f>VLOOKUP($A38, 'Table 6 - Full data'!$A$2:$M$181,11,FALSE)</f>
        <v>0.22</v>
      </c>
      <c r="L38" s="110">
        <f>VLOOKUP($A38, 'Table 6 - Full data'!$A$2:$M$181,12,FALSE)</f>
        <v>0.48</v>
      </c>
      <c r="M38" s="110">
        <f>VLOOKUP($A38, 'Table 6 - Full data'!$A$2:$M$181,13,FALSE)</f>
        <v>0.13</v>
      </c>
      <c r="N38" s="26"/>
      <c r="O38" s="26"/>
      <c r="P38" s="26"/>
      <c r="Q38" s="26"/>
      <c r="R38" s="26"/>
      <c r="S38" s="26"/>
      <c r="T38" s="26"/>
      <c r="U38" s="26"/>
      <c r="V38" s="26"/>
      <c r="W38" s="26"/>
      <c r="X38" s="26"/>
      <c r="Y38" s="26"/>
      <c r="Z38" s="26"/>
      <c r="AA38" s="26"/>
    </row>
    <row r="39" spans="1:27" ht="15.5" x14ac:dyDescent="0.35">
      <c r="A39" s="40" t="str">
        <f xml:space="preserve"> "West Lothian " &amp;$B$5</f>
        <v>West Lothian All time</v>
      </c>
      <c r="B39" s="136">
        <f>VLOOKUP($A39, 'Table 6 - Full data'!$A$2:$M$181,2,FALSE)</f>
        <v>10325</v>
      </c>
      <c r="C39" s="110">
        <f>VLOOKUP($A39, 'Table 6 - Full data'!$A$2:$M$181,3,FALSE)</f>
        <v>0.04</v>
      </c>
      <c r="D39" s="134">
        <f>VLOOKUP($A39, 'Table 6 - Full data'!$A$2:$M$181,4,FALSE)</f>
        <v>3155</v>
      </c>
      <c r="E39" s="134">
        <f>VLOOKUP($A39, 'Table 6 - Full data'!$A$2:$M$181,5,FALSE)</f>
        <v>3425</v>
      </c>
      <c r="F39" s="134">
        <f>VLOOKUP($A39, 'Table 6 - Full data'!$A$2:$M$181,6,FALSE)</f>
        <v>2505</v>
      </c>
      <c r="G39" s="134">
        <f>VLOOKUP($A39, 'Table 6 - Full data'!$A$2:$M$181,7,FALSE)</f>
        <v>4960</v>
      </c>
      <c r="H39" s="134">
        <f>VLOOKUP($A39, 'Table 6 - Full data'!$A$2:$M$181,8,FALSE)</f>
        <v>1270</v>
      </c>
      <c r="I39" s="110">
        <f>VLOOKUP($A39, 'Table 6 - Full data'!$A$2:$M$181,9,FALSE)</f>
        <v>0.31</v>
      </c>
      <c r="J39" s="110">
        <f>VLOOKUP($A39, 'Table 6 - Full data'!$A$2:$M$181,10,FALSE)</f>
        <v>0.33</v>
      </c>
      <c r="K39" s="110">
        <f>VLOOKUP($A39, 'Table 6 - Full data'!$A$2:$M$181,11,FALSE)</f>
        <v>0.24</v>
      </c>
      <c r="L39" s="110">
        <f>VLOOKUP($A39, 'Table 6 - Full data'!$A$2:$M$181,12,FALSE)</f>
        <v>0.48</v>
      </c>
      <c r="M39" s="110">
        <f>VLOOKUP($A39, 'Table 6 - Full data'!$A$2:$M$181,13,FALSE)</f>
        <v>0.12</v>
      </c>
      <c r="N39" s="26"/>
      <c r="O39" s="26"/>
      <c r="P39" s="26"/>
      <c r="Q39" s="26"/>
      <c r="R39" s="26"/>
      <c r="S39" s="26"/>
      <c r="T39" s="26"/>
      <c r="U39" s="26"/>
      <c r="V39" s="26"/>
      <c r="W39" s="26"/>
      <c r="X39" s="26"/>
      <c r="Y39" s="26"/>
      <c r="Z39" s="26"/>
      <c r="AA39" s="26"/>
    </row>
    <row r="40" spans="1:27" ht="15.5" x14ac:dyDescent="0.35">
      <c r="A40" s="154" t="str">
        <f xml:space="preserve"> "Unknown - Scottish address " &amp;$B$5</f>
        <v>Unknown - Scottish address All time</v>
      </c>
      <c r="B40" s="136">
        <f>VLOOKUP($A40, 'Table 6 - Full data'!$A$2:$M$181,2,FALSE)</f>
        <v>295</v>
      </c>
      <c r="C40" s="110">
        <f>VLOOKUP($A40, 'Table 6 - Full data'!$A$2:$M$181,3,FALSE)</f>
        <v>0</v>
      </c>
      <c r="D40" s="134">
        <f>VLOOKUP($A40, 'Table 6 - Full data'!$A$2:$M$181,4,FALSE)</f>
        <v>120</v>
      </c>
      <c r="E40" s="134">
        <f>VLOOKUP($A40, 'Table 6 - Full data'!$A$2:$M$181,5,FALSE)</f>
        <v>105</v>
      </c>
      <c r="F40" s="134">
        <f>VLOOKUP($A40, 'Table 6 - Full data'!$A$2:$M$181,6,FALSE)</f>
        <v>45</v>
      </c>
      <c r="G40" s="134">
        <f>VLOOKUP($A40, 'Table 6 - Full data'!$A$2:$M$181,7,FALSE)</f>
        <v>190</v>
      </c>
      <c r="H40" s="134">
        <f>VLOOKUP($A40, 'Table 6 - Full data'!$A$2:$M$181,8,FALSE)</f>
        <v>30</v>
      </c>
      <c r="I40" s="110">
        <f>VLOOKUP($A40, 'Table 6 - Full data'!$A$2:$M$181,9,FALSE)</f>
        <v>0.41</v>
      </c>
      <c r="J40" s="110">
        <f>VLOOKUP($A40, 'Table 6 - Full data'!$A$2:$M$181,10,FALSE)</f>
        <v>0.36</v>
      </c>
      <c r="K40" s="110">
        <f>VLOOKUP($A40, 'Table 6 - Full data'!$A$2:$M$181,11,FALSE)</f>
        <v>0.15</v>
      </c>
      <c r="L40" s="110">
        <f>VLOOKUP($A40, 'Table 6 - Full data'!$A$2:$M$181,12,FALSE)</f>
        <v>0.65</v>
      </c>
      <c r="M40" s="110">
        <f>VLOOKUP($A40, 'Table 6 - Full data'!$A$2:$M$181,13,FALSE)</f>
        <v>0.09</v>
      </c>
      <c r="N40" s="26"/>
      <c r="O40" s="26"/>
      <c r="P40" s="26"/>
      <c r="Q40" s="26"/>
      <c r="R40" s="26"/>
      <c r="S40" s="26"/>
      <c r="T40" s="26"/>
      <c r="U40" s="26"/>
      <c r="V40" s="26"/>
      <c r="W40" s="26"/>
      <c r="X40" s="26"/>
      <c r="Y40" s="26"/>
      <c r="Z40" s="26"/>
      <c r="AA40" s="26"/>
    </row>
    <row r="41" spans="1:27" s="14" customFormat="1" ht="14.5" customHeight="1" x14ac:dyDescent="0.35">
      <c r="A41" s="154" t="str">
        <f xml:space="preserve"> "Non-Scottish postcode " &amp;$B$5</f>
        <v>Non-Scottish postcode All time</v>
      </c>
      <c r="B41" s="136">
        <f>VLOOKUP($A41, 'Table 6 - Full data'!$A$2:$M$181,2,FALSE)</f>
        <v>10025</v>
      </c>
      <c r="C41" s="110">
        <f>VLOOKUP($A41, 'Table 6 - Full data'!$A$2:$M$181,3,FALSE)</f>
        <v>0.04</v>
      </c>
      <c r="D41" s="134">
        <f>VLOOKUP($A41, 'Table 6 - Full data'!$A$2:$M$181,4,FALSE)</f>
        <v>6705</v>
      </c>
      <c r="E41" s="134">
        <f>VLOOKUP($A41, 'Table 6 - Full data'!$A$2:$M$181,5,FALSE)</f>
        <v>1925</v>
      </c>
      <c r="F41" s="134">
        <f>VLOOKUP($A41, 'Table 6 - Full data'!$A$2:$M$181,6,FALSE)</f>
        <v>670</v>
      </c>
      <c r="G41" s="134">
        <f>VLOOKUP($A41, 'Table 6 - Full data'!$A$2:$M$181,7,FALSE)</f>
        <v>5155</v>
      </c>
      <c r="H41" s="134">
        <f>VLOOKUP($A41, 'Table 6 - Full data'!$A$2:$M$181,8,FALSE)</f>
        <v>740</v>
      </c>
      <c r="I41" s="110">
        <f>VLOOKUP($A41, 'Table 6 - Full data'!$A$2:$M$181,9,FALSE)</f>
        <v>0.67</v>
      </c>
      <c r="J41" s="110">
        <f>VLOOKUP($A41, 'Table 6 - Full data'!$A$2:$M$181,10,FALSE)</f>
        <v>0.19</v>
      </c>
      <c r="K41" s="110">
        <f>VLOOKUP($A41, 'Table 6 - Full data'!$A$2:$M$181,11,FALSE)</f>
        <v>7.0000000000000007E-2</v>
      </c>
      <c r="L41" s="110">
        <f>VLOOKUP($A41, 'Table 6 - Full data'!$A$2:$M$181,12,FALSE)</f>
        <v>0.51</v>
      </c>
      <c r="M41" s="110">
        <f>VLOOKUP($A41, 'Table 6 - Full data'!$A$2:$M$181,13,FALSE)</f>
        <v>7.0000000000000007E-2</v>
      </c>
      <c r="N41" s="55"/>
      <c r="O41" s="55"/>
      <c r="P41" s="55"/>
      <c r="Q41" s="55"/>
      <c r="R41" s="55"/>
      <c r="S41" s="55"/>
      <c r="T41" s="55"/>
      <c r="U41" s="55"/>
      <c r="V41" s="55"/>
      <c r="W41" s="55"/>
      <c r="X41" s="55"/>
      <c r="Y41" s="55"/>
      <c r="Z41" s="55"/>
      <c r="AA41" s="55"/>
    </row>
    <row r="42" spans="1:27" s="14" customFormat="1" ht="14.5" customHeight="1" x14ac:dyDescent="0.35">
      <c r="A42" s="154" t="str">
        <f xml:space="preserve"> "No address " &amp;$B$5</f>
        <v>No address All time</v>
      </c>
      <c r="B42" s="136">
        <f>VLOOKUP($A42, 'Table 6 - Full data'!$A$2:$M$181,2,FALSE)</f>
        <v>440</v>
      </c>
      <c r="C42" s="110">
        <f>VLOOKUP($A42, 'Table 6 - Full data'!$A$2:$M$181,3,FALSE)</f>
        <v>0</v>
      </c>
      <c r="D42" s="134">
        <f>VLOOKUP($A42, 'Table 6 - Full data'!$A$2:$M$181,4,FALSE)</f>
        <v>165</v>
      </c>
      <c r="E42" s="134">
        <f>VLOOKUP($A42, 'Table 6 - Full data'!$A$2:$M$181,5,FALSE)</f>
        <v>115</v>
      </c>
      <c r="F42" s="134">
        <f>VLOOKUP($A42, 'Table 6 - Full data'!$A$2:$M$181,6,FALSE)</f>
        <v>55</v>
      </c>
      <c r="G42" s="134">
        <f>VLOOKUP($A42, 'Table 6 - Full data'!$A$2:$M$181,7,FALSE)</f>
        <v>225</v>
      </c>
      <c r="H42" s="134">
        <f>VLOOKUP($A42, 'Table 6 - Full data'!$A$2:$M$181,8,FALSE)</f>
        <v>90</v>
      </c>
      <c r="I42" s="110">
        <f>VLOOKUP($A42, 'Table 6 - Full data'!$A$2:$M$181,9,FALSE)</f>
        <v>0.38</v>
      </c>
      <c r="J42" s="110">
        <f>VLOOKUP($A42, 'Table 6 - Full data'!$A$2:$M$181,10,FALSE)</f>
        <v>0.26</v>
      </c>
      <c r="K42" s="110">
        <f>VLOOKUP($A42, 'Table 6 - Full data'!$A$2:$M$181,11,FALSE)</f>
        <v>0.13</v>
      </c>
      <c r="L42" s="110">
        <f>VLOOKUP($A42, 'Table 6 - Full data'!$A$2:$M$181,12,FALSE)</f>
        <v>0.51</v>
      </c>
      <c r="M42" s="110">
        <f>VLOOKUP($A42, 'Table 6 - Full data'!$A$2:$M$181,13,FALSE)</f>
        <v>0.2</v>
      </c>
      <c r="N42" s="55"/>
      <c r="O42" s="55"/>
      <c r="P42" s="55"/>
      <c r="Q42" s="55"/>
      <c r="R42" s="55"/>
      <c r="S42" s="55"/>
      <c r="T42" s="55"/>
      <c r="U42" s="55"/>
      <c r="V42" s="55"/>
      <c r="W42" s="55"/>
      <c r="X42" s="55"/>
      <c r="Y42" s="55"/>
      <c r="Z42" s="55"/>
      <c r="AA42" s="55"/>
    </row>
    <row r="43" spans="1:27" s="14" customFormat="1" ht="25.5" customHeight="1" x14ac:dyDescent="0.35">
      <c r="A43" s="63" t="s">
        <v>9</v>
      </c>
      <c r="B43" s="64"/>
      <c r="C43" s="63"/>
      <c r="D43" s="63"/>
      <c r="E43" s="63"/>
      <c r="F43" s="63"/>
      <c r="G43" s="63"/>
      <c r="H43" s="65"/>
      <c r="I43" s="63"/>
      <c r="J43" s="63"/>
      <c r="K43" s="55"/>
      <c r="L43" s="55"/>
      <c r="M43" s="55"/>
      <c r="N43" s="55"/>
      <c r="O43" s="55"/>
      <c r="P43" s="55"/>
      <c r="Q43" s="55"/>
      <c r="R43" s="55"/>
      <c r="S43" s="55"/>
      <c r="T43" s="55"/>
      <c r="U43" s="55"/>
      <c r="V43" s="55"/>
      <c r="W43" s="55"/>
      <c r="X43" s="55"/>
      <c r="Y43" s="55"/>
      <c r="Z43" s="55"/>
      <c r="AA43" s="55"/>
    </row>
    <row r="44" spans="1:27" s="14" customFormat="1" ht="17.5" customHeight="1" x14ac:dyDescent="0.35">
      <c r="A44" s="63" t="s">
        <v>648</v>
      </c>
      <c r="B44" s="63"/>
      <c r="C44" s="63"/>
      <c r="D44" s="63"/>
      <c r="E44" s="63"/>
      <c r="F44" s="63"/>
      <c r="G44" s="63"/>
      <c r="H44" s="63"/>
      <c r="I44" s="63"/>
      <c r="J44" s="63"/>
      <c r="K44" s="55"/>
      <c r="L44" s="55"/>
      <c r="M44" s="55"/>
      <c r="N44" s="55"/>
      <c r="O44" s="55"/>
      <c r="P44" s="55"/>
      <c r="Q44" s="55"/>
      <c r="R44" s="55"/>
      <c r="S44" s="55"/>
      <c r="T44" s="55"/>
      <c r="U44" s="55"/>
      <c r="V44" s="55"/>
      <c r="W44" s="55"/>
      <c r="X44" s="55"/>
      <c r="Y44" s="55"/>
      <c r="Z44" s="55"/>
      <c r="AA44" s="55"/>
    </row>
    <row r="45" spans="1:27" s="21" customFormat="1" ht="15.5" x14ac:dyDescent="0.35">
      <c r="A45" s="44" t="s">
        <v>633</v>
      </c>
      <c r="B45" s="44"/>
      <c r="C45" s="44"/>
      <c r="D45" s="44"/>
      <c r="E45" s="44"/>
      <c r="F45" s="44"/>
      <c r="G45" s="44"/>
      <c r="H45" s="44"/>
      <c r="I45" s="44"/>
      <c r="J45" s="44"/>
      <c r="K45" s="44"/>
      <c r="L45" s="44"/>
      <c r="M45" s="10"/>
    </row>
    <row r="46" spans="1:27" s="21" customFormat="1" ht="15.5" x14ac:dyDescent="0.35">
      <c r="A46" s="44" t="s">
        <v>634</v>
      </c>
      <c r="B46" s="44"/>
      <c r="C46" s="44"/>
      <c r="D46" s="44"/>
      <c r="E46" s="44"/>
      <c r="F46" s="44"/>
      <c r="G46" s="44"/>
      <c r="H46" s="44"/>
      <c r="I46" s="44"/>
      <c r="J46" s="44"/>
      <c r="K46" s="44"/>
      <c r="L46" s="44"/>
      <c r="M46" s="10"/>
    </row>
    <row r="47" spans="1:27" s="21" customFormat="1" ht="15.5" x14ac:dyDescent="0.35">
      <c r="A47" s="45" t="s">
        <v>649</v>
      </c>
      <c r="B47" s="44"/>
      <c r="C47" s="44"/>
      <c r="D47" s="44"/>
      <c r="E47" s="44"/>
      <c r="F47" s="44"/>
      <c r="G47" s="44"/>
      <c r="H47" s="44"/>
      <c r="I47" s="44"/>
      <c r="J47" s="44"/>
      <c r="K47" s="44"/>
      <c r="L47" s="44"/>
      <c r="M47" s="10"/>
    </row>
    <row r="48" spans="1:27" s="21" customFormat="1" ht="15.5" x14ac:dyDescent="0.35">
      <c r="A48" s="45" t="s">
        <v>635</v>
      </c>
      <c r="B48" s="44"/>
      <c r="C48" s="44"/>
      <c r="D48" s="44"/>
      <c r="E48" s="44"/>
      <c r="F48" s="44"/>
      <c r="G48" s="44"/>
      <c r="H48" s="44"/>
      <c r="I48" s="44"/>
      <c r="J48" s="44"/>
      <c r="K48" s="44"/>
      <c r="L48" s="44"/>
      <c r="M48" s="10"/>
    </row>
    <row r="49" spans="1:27" s="14" customFormat="1" ht="142.5" customHeight="1" x14ac:dyDescent="0.35">
      <c r="A49" s="27" t="s">
        <v>658</v>
      </c>
      <c r="B49" s="26"/>
      <c r="C49" s="26"/>
      <c r="D49" s="26"/>
      <c r="E49" s="26"/>
      <c r="F49" s="26"/>
      <c r="G49" s="26"/>
      <c r="H49" s="26"/>
      <c r="I49" s="26"/>
      <c r="J49" s="26"/>
      <c r="K49" s="26"/>
      <c r="L49" s="26"/>
      <c r="M49" s="26"/>
      <c r="N49" s="55"/>
      <c r="O49" s="55"/>
      <c r="P49" s="55"/>
      <c r="Q49" s="55"/>
      <c r="R49" s="55"/>
      <c r="S49" s="55"/>
      <c r="T49" s="55"/>
      <c r="U49" s="55"/>
      <c r="V49" s="55"/>
      <c r="W49" s="55"/>
      <c r="X49" s="55"/>
      <c r="Y49" s="55"/>
      <c r="Z49" s="55"/>
      <c r="AA49" s="55"/>
    </row>
    <row r="50" spans="1:27" ht="138.65" customHeight="1" x14ac:dyDescent="0.35">
      <c r="A50" s="27" t="s">
        <v>665</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ht="14.5" customHeight="1" x14ac:dyDescent="0.35">
      <c r="A51" s="26" t="s">
        <v>660</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spans="1:27" ht="14.5" customHeight="1" x14ac:dyDescent="0.35">
      <c r="A52" s="26" t="s">
        <v>661</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s="14" customFormat="1" ht="15.5" x14ac:dyDescent="0.35">
      <c r="A53" s="45" t="s">
        <v>666</v>
      </c>
      <c r="B53" s="26"/>
      <c r="C53" s="26"/>
      <c r="D53" s="26"/>
      <c r="E53" s="26"/>
      <c r="F53" s="26"/>
      <c r="G53" s="26"/>
      <c r="H53" s="26"/>
      <c r="I53" s="26"/>
      <c r="J53" s="26"/>
      <c r="K53" s="26"/>
      <c r="L53" s="26"/>
      <c r="M53" s="26"/>
      <c r="N53" s="55"/>
      <c r="O53" s="55"/>
      <c r="P53" s="55"/>
      <c r="Q53" s="55"/>
      <c r="R53" s="55"/>
      <c r="S53" s="55"/>
      <c r="T53" s="55"/>
      <c r="U53" s="55"/>
      <c r="V53" s="55"/>
      <c r="W53" s="55"/>
      <c r="X53" s="55"/>
      <c r="Y53" s="55"/>
      <c r="Z53" s="55"/>
      <c r="AA53" s="55"/>
    </row>
    <row r="54" spans="1:27" s="14" customFormat="1" ht="14.5" customHeight="1" x14ac:dyDescent="0.35">
      <c r="A54" s="44" t="s">
        <v>678</v>
      </c>
      <c r="B54" s="26"/>
      <c r="C54" s="26"/>
      <c r="D54" s="26"/>
      <c r="E54" s="26"/>
      <c r="F54" s="26"/>
      <c r="G54" s="26"/>
      <c r="H54" s="26"/>
      <c r="I54" s="26"/>
      <c r="J54" s="26"/>
      <c r="K54" s="26"/>
      <c r="L54" s="26"/>
      <c r="M54" s="26"/>
      <c r="N54" s="55"/>
      <c r="O54" s="55"/>
      <c r="P54" s="55"/>
      <c r="Q54" s="55"/>
      <c r="R54" s="55"/>
      <c r="S54" s="55"/>
      <c r="T54" s="55"/>
      <c r="U54" s="55"/>
      <c r="V54" s="55"/>
      <c r="W54" s="55"/>
      <c r="X54" s="55"/>
      <c r="Y54" s="55"/>
      <c r="Z54" s="55"/>
      <c r="AA54" s="55"/>
    </row>
    <row r="55" spans="1:27" ht="14.5" customHeight="1" x14ac:dyDescent="0.35">
      <c r="A55" s="44" t="s">
        <v>679</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spans="1:27" ht="15.5" x14ac:dyDescent="0.35">
      <c r="A56" s="44" t="s">
        <v>680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spans="1:27" ht="18.649999999999999" customHeight="1" x14ac:dyDescent="0.35">
      <c r="A57" s="45" t="s">
        <v>8</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spans="1:27" ht="15.5" x14ac:dyDescent="0.3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30.65" customHeight="1" x14ac:dyDescent="0.3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15.5" x14ac:dyDescent="0.3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5.5" x14ac:dyDescent="0.3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15.5" x14ac:dyDescent="0.3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spans="1:27" ht="15.5" x14ac:dyDescent="0.3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spans="1:27" ht="14.5" customHeight="1" x14ac:dyDescent="0.3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spans="1:27" ht="15.5" x14ac:dyDescent="0.3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14.5" customHeight="1" x14ac:dyDescent="0.35"/>
  </sheetData>
  <conditionalFormatting sqref="C7:C42">
    <cfRule type="dataBar" priority="3">
      <dataBar>
        <cfvo type="num" val="0"/>
        <cfvo type="num" val="1"/>
        <color rgb="FFB4A9D4"/>
      </dataBar>
      <extLst>
        <ext xmlns:x14="http://schemas.microsoft.com/office/spreadsheetml/2009/9/main" uri="{B025F937-C7B1-47D3-B67F-A62EFF666E3E}">
          <x14:id>{2106E6B9-A8C9-40A3-849F-0C7301EB9105}</x14:id>
        </ext>
      </extLst>
    </cfRule>
  </conditionalFormatting>
  <conditionalFormatting sqref="I7:M42">
    <cfRule type="dataBar" priority="2">
      <dataBar>
        <cfvo type="num" val="0"/>
        <cfvo type="num" val="1"/>
        <color rgb="FFB4A9D4"/>
      </dataBar>
      <extLst>
        <ext xmlns:x14="http://schemas.microsoft.com/office/spreadsheetml/2009/9/main" uri="{B025F937-C7B1-47D3-B67F-A62EFF666E3E}">
          <x14:id>{101E87F6-0FB9-456E-BE88-F1FA44F358C5}</x14:id>
        </ext>
      </extLst>
    </cfRule>
  </conditionalFormatting>
  <conditionalFormatting sqref="M45:M48">
    <cfRule type="dataBar" priority="1">
      <dataBar>
        <cfvo type="min"/>
        <cfvo type="max"/>
        <color rgb="FF638EC6"/>
      </dataBar>
      <extLst>
        <ext xmlns:x14="http://schemas.microsoft.com/office/spreadsheetml/2009/9/main" uri="{B025F937-C7B1-47D3-B67F-A62EFF666E3E}">
          <x14:id>{2E12C091-01E3-4EAC-BCE1-66D560A805B9}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06E6B9-A8C9-40A3-849F-0C7301EB9105}">
            <x14:dataBar minLength="0" maxLength="100" gradient="0">
              <x14:cfvo type="num">
                <xm:f>0</xm:f>
              </x14:cfvo>
              <x14:cfvo type="num">
                <xm:f>1</xm:f>
              </x14:cfvo>
              <x14:negativeFillColor rgb="FFFF0000"/>
              <x14:axisColor rgb="FF000000"/>
            </x14:dataBar>
          </x14:cfRule>
          <xm:sqref>C7:C42</xm:sqref>
        </x14:conditionalFormatting>
        <x14:conditionalFormatting xmlns:xm="http://schemas.microsoft.com/office/excel/2006/main">
          <x14:cfRule type="dataBar" id="{101E87F6-0FB9-456E-BE88-F1FA44F358C5}">
            <x14:dataBar minLength="0" maxLength="100" gradient="0">
              <x14:cfvo type="num">
                <xm:f>0</xm:f>
              </x14:cfvo>
              <x14:cfvo type="num">
                <xm:f>1</xm:f>
              </x14:cfvo>
              <x14:negativeFillColor rgb="FFFF0000"/>
              <x14:axisColor rgb="FF000000"/>
            </x14:dataBar>
          </x14:cfRule>
          <xm:sqref>I7:M42</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M45:M48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6 - Full data'!$O$2:$O$6</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46"/>
  <sheetViews>
    <sheetView zoomScale="75" zoomScaleNormal="75" workbookViewId="0"/>
  </sheetViews>
  <sheetFormatPr defaultColWidth="8.7265625" defaultRowHeight="14.5" x14ac:dyDescent="0.35"/>
  <cols>
    <col min="1" max="1" width="40.7265625" style="21" customWidth="1"/>
    <col min="2" max="10" width="14.1796875" style="21" customWidth="1"/>
    <col min="11" max="11" width="13.453125" style="21" customWidth="1"/>
    <col min="12" max="12" width="9.54296875" style="21" bestFit="1" customWidth="1"/>
    <col min="13" max="16384" width="8.7265625" style="21"/>
  </cols>
  <sheetData>
    <row r="1" spans="1:35" ht="21" x14ac:dyDescent="0.5">
      <c r="A1" s="20" t="s">
        <v>40</v>
      </c>
      <c r="B1" s="20"/>
      <c r="C1" s="20"/>
      <c r="D1" s="20"/>
      <c r="E1" s="20"/>
      <c r="F1" s="20"/>
      <c r="G1" s="20"/>
      <c r="H1" s="22"/>
      <c r="I1" s="22"/>
      <c r="J1" s="22"/>
      <c r="K1" s="22"/>
    </row>
    <row r="2" spans="1:35" ht="21" x14ac:dyDescent="0.5">
      <c r="A2" s="36" t="s">
        <v>767</v>
      </c>
      <c r="B2" s="19"/>
      <c r="C2" s="19"/>
      <c r="D2" s="19"/>
      <c r="E2" s="19"/>
      <c r="F2" s="19"/>
      <c r="G2" s="19"/>
      <c r="H2" s="22"/>
      <c r="I2" s="22"/>
      <c r="J2" s="22"/>
      <c r="K2" s="22"/>
    </row>
    <row r="3" spans="1:35" ht="21" x14ac:dyDescent="0.5">
      <c r="A3" s="25" t="s">
        <v>772</v>
      </c>
      <c r="B3" s="19"/>
      <c r="C3" s="19"/>
      <c r="D3" s="19"/>
      <c r="E3" s="19"/>
      <c r="F3" s="19"/>
      <c r="G3" s="19"/>
      <c r="H3" s="22"/>
      <c r="I3" s="22"/>
      <c r="J3" s="22"/>
      <c r="K3" s="22"/>
    </row>
    <row r="4" spans="1:35" ht="21" x14ac:dyDescent="0.5">
      <c r="A4" s="25" t="s">
        <v>483</v>
      </c>
      <c r="B4" s="19"/>
      <c r="C4" s="19"/>
      <c r="D4" s="19"/>
      <c r="E4" s="19"/>
      <c r="F4" s="19"/>
      <c r="G4" s="19"/>
      <c r="H4" s="22"/>
      <c r="I4" s="22"/>
      <c r="J4" s="22"/>
      <c r="K4" s="22"/>
      <c r="W4" s="23"/>
      <c r="X4" s="23"/>
      <c r="Y4" s="23"/>
      <c r="Z4" s="23"/>
      <c r="AA4" s="23"/>
      <c r="AB4" s="23"/>
      <c r="AC4" s="23"/>
      <c r="AD4" s="23"/>
      <c r="AE4" s="23"/>
      <c r="AF4" s="23"/>
      <c r="AG4" s="23"/>
      <c r="AH4" s="23"/>
      <c r="AI4" s="23"/>
    </row>
    <row r="5" spans="1:35" ht="31" x14ac:dyDescent="0.35">
      <c r="A5" s="198" t="s">
        <v>759</v>
      </c>
      <c r="B5" s="197" t="s">
        <v>241</v>
      </c>
      <c r="C5" s="60"/>
      <c r="D5" s="26"/>
      <c r="E5" s="26"/>
      <c r="F5" s="26"/>
      <c r="G5" s="26"/>
      <c r="H5" s="26"/>
      <c r="I5" s="26"/>
      <c r="J5" s="26"/>
      <c r="K5" s="26"/>
      <c r="L5" s="26"/>
      <c r="M5" s="26"/>
      <c r="N5" s="26"/>
      <c r="O5" s="26"/>
      <c r="P5" s="26"/>
      <c r="Q5" s="26"/>
      <c r="W5" s="255"/>
      <c r="X5" s="255"/>
      <c r="Y5" s="255"/>
      <c r="Z5" s="255"/>
      <c r="AA5" s="255"/>
      <c r="AB5" s="255"/>
      <c r="AC5" s="255"/>
      <c r="AD5" s="255"/>
      <c r="AE5" s="255"/>
      <c r="AF5" s="255"/>
      <c r="AG5" s="255"/>
      <c r="AH5" s="23"/>
      <c r="AI5" s="23"/>
    </row>
    <row r="6" spans="1:35" ht="62" x14ac:dyDescent="0.35">
      <c r="A6" s="67" t="s">
        <v>682</v>
      </c>
      <c r="B6" s="31" t="s">
        <v>667</v>
      </c>
      <c r="C6" s="31" t="s">
        <v>342</v>
      </c>
      <c r="D6" s="31" t="s">
        <v>65</v>
      </c>
      <c r="E6" s="31" t="s">
        <v>668</v>
      </c>
      <c r="F6" s="31" t="s">
        <v>669</v>
      </c>
      <c r="G6" s="31" t="s">
        <v>670</v>
      </c>
      <c r="H6" s="31" t="s">
        <v>343</v>
      </c>
      <c r="I6" s="31" t="s">
        <v>344</v>
      </c>
      <c r="J6" s="31" t="s">
        <v>345</v>
      </c>
      <c r="K6" s="26"/>
      <c r="L6" s="32"/>
      <c r="M6" s="26"/>
      <c r="N6" s="26"/>
      <c r="O6" s="26"/>
      <c r="P6" s="26"/>
      <c r="Q6" s="26"/>
      <c r="W6" s="255"/>
      <c r="X6" s="255"/>
      <c r="Y6" s="54"/>
      <c r="Z6" s="54"/>
      <c r="AA6" s="54"/>
      <c r="AB6" s="54"/>
      <c r="AC6" s="54"/>
      <c r="AD6" s="54"/>
      <c r="AE6" s="18"/>
      <c r="AF6" s="18"/>
      <c r="AG6" s="18"/>
      <c r="AH6" s="23"/>
      <c r="AI6" s="23"/>
    </row>
    <row r="7" spans="1:35" ht="15.5" x14ac:dyDescent="0.35">
      <c r="A7" s="155" t="str">
        <f xml:space="preserve"> "Total " &amp;$B$5</f>
        <v>Total All time</v>
      </c>
      <c r="B7" s="189">
        <f>VLOOKUP($A7, 'Table 7 - Full data'!$A$2:$J$91,2,FALSE)</f>
        <v>276250</v>
      </c>
      <c r="C7" s="114">
        <f>VLOOKUP($A7,'Table 7 - Full data'!$A$2:$J$91,3,FALSE)</f>
        <v>1</v>
      </c>
      <c r="D7" s="166">
        <f>VLOOKUP($A7,'Table 7 - Full data'!$A$2:$J$91,4,FALSE)</f>
        <v>268375</v>
      </c>
      <c r="E7" s="166">
        <f>VLOOKUP($A7,'Table 7 - Full data'!$A$2:$J$91,5,FALSE)</f>
        <v>179575</v>
      </c>
      <c r="F7" s="166">
        <f>VLOOKUP($A7,'Table 7 - Full data'!$A$2:$J$91,6,FALSE)</f>
        <v>80835</v>
      </c>
      <c r="G7" s="166">
        <f>VLOOKUP($A7,'Table 7 - Full data'!$A$2:$J$91,7,FALSE)</f>
        <v>7965</v>
      </c>
      <c r="H7" s="114">
        <f>VLOOKUP($A7,'Table 7 - Full data'!$A$2:$J$91,8,FALSE)</f>
        <v>0.67</v>
      </c>
      <c r="I7" s="114">
        <f>VLOOKUP($A7,'Table 7 - Full data'!$A$2:$J$91,9,FALSE)</f>
        <v>0.3</v>
      </c>
      <c r="J7" s="114">
        <f>VLOOKUP($A7,'Table 7 - Full data'!$A$2:$J$91,10,FALSE)</f>
        <v>0.03</v>
      </c>
      <c r="K7" s="26"/>
      <c r="L7" s="32"/>
      <c r="M7" s="26"/>
      <c r="N7" s="26"/>
      <c r="O7" s="26"/>
      <c r="P7" s="26"/>
      <c r="Q7" s="26"/>
      <c r="W7" s="54"/>
      <c r="X7" s="54"/>
      <c r="Y7" s="54"/>
      <c r="Z7" s="54"/>
      <c r="AA7" s="54"/>
      <c r="AB7" s="54"/>
      <c r="AC7" s="54"/>
      <c r="AD7" s="54"/>
      <c r="AE7" s="18"/>
      <c r="AF7" s="18"/>
      <c r="AG7" s="18"/>
      <c r="AH7" s="23"/>
      <c r="AI7" s="23"/>
    </row>
    <row r="8" spans="1:35" ht="15.5" x14ac:dyDescent="0.35">
      <c r="A8" s="40" t="str">
        <f xml:space="preserve"> "Ayrshire and Arran " &amp;$B$5</f>
        <v>Ayrshire and Arran All time</v>
      </c>
      <c r="B8" s="136">
        <f>VLOOKUP($A8, 'Table 7 - Full data'!$A$2:$J$91,2,FALSE)</f>
        <v>22425</v>
      </c>
      <c r="C8" s="143">
        <f>VLOOKUP($A8,'Table 7 - Full data'!$A$2:$J$91,3,FALSE)</f>
        <v>0.08</v>
      </c>
      <c r="D8" s="134">
        <f>VLOOKUP($A8,'Table 7 - Full data'!$A$2:$J$91,4,FALSE)</f>
        <v>21815</v>
      </c>
      <c r="E8" s="134">
        <f>VLOOKUP($A8,'Table 7 - Full data'!$A$2:$J$91,5,FALSE)</f>
        <v>15475</v>
      </c>
      <c r="F8" s="134">
        <f>VLOOKUP($A8,'Table 7 - Full data'!$A$2:$J$91,6,FALSE)</f>
        <v>5670</v>
      </c>
      <c r="G8" s="134">
        <f>VLOOKUP($A8,'Table 7 - Full data'!$A$2:$J$91,7,FALSE)</f>
        <v>670</v>
      </c>
      <c r="H8" s="143">
        <f>VLOOKUP($A8,'Table 7 - Full data'!$A$2:$J$91,8,FALSE)</f>
        <v>0.71</v>
      </c>
      <c r="I8" s="143">
        <f>VLOOKUP($A8,'Table 7 - Full data'!$A$2:$J$91,9,FALSE)</f>
        <v>0.26</v>
      </c>
      <c r="J8" s="143">
        <f>VLOOKUP($A8,'Table 7 - Full data'!$A$2:$J$91,10,FALSE)</f>
        <v>0.03</v>
      </c>
      <c r="K8" s="26"/>
      <c r="L8" s="35"/>
      <c r="M8" s="26"/>
      <c r="N8" s="26"/>
      <c r="O8" s="26"/>
      <c r="P8" s="26"/>
      <c r="Q8" s="26"/>
      <c r="W8" s="256"/>
      <c r="X8" s="256"/>
      <c r="Y8" s="15"/>
      <c r="Z8" s="16"/>
      <c r="AA8" s="15"/>
      <c r="AB8" s="15"/>
      <c r="AC8" s="15"/>
      <c r="AD8" s="15"/>
      <c r="AE8" s="16"/>
      <c r="AF8" s="16"/>
      <c r="AG8" s="16"/>
      <c r="AH8" s="23"/>
      <c r="AI8" s="23"/>
    </row>
    <row r="9" spans="1:35" ht="15.5" x14ac:dyDescent="0.35">
      <c r="A9" s="40" t="str">
        <f xml:space="preserve"> "Borders " &amp;$B$5</f>
        <v>Borders All time</v>
      </c>
      <c r="B9" s="136">
        <f>VLOOKUP($A9, 'Table 7 - Full data'!$A$2:$J$91,2,FALSE)</f>
        <v>4325</v>
      </c>
      <c r="C9" s="143">
        <f>VLOOKUP($A9,'Table 7 - Full data'!$A$2:$J$91,3,FALSE)</f>
        <v>0.02</v>
      </c>
      <c r="D9" s="134">
        <f>VLOOKUP($A9,'Table 7 - Full data'!$A$2:$J$91,4,FALSE)</f>
        <v>4205</v>
      </c>
      <c r="E9" s="134">
        <f>VLOOKUP($A9,'Table 7 - Full data'!$A$2:$J$91,5,FALSE)</f>
        <v>2995</v>
      </c>
      <c r="F9" s="134">
        <f>VLOOKUP($A9,'Table 7 - Full data'!$A$2:$J$91,6,FALSE)</f>
        <v>1095</v>
      </c>
      <c r="G9" s="134">
        <f>VLOOKUP($A9,'Table 7 - Full data'!$A$2:$J$91,7,FALSE)</f>
        <v>110</v>
      </c>
      <c r="H9" s="143">
        <f>VLOOKUP($A9,'Table 7 - Full data'!$A$2:$J$91,8,FALSE)</f>
        <v>0.71</v>
      </c>
      <c r="I9" s="143">
        <f>VLOOKUP($A9,'Table 7 - Full data'!$A$2:$J$91,9,FALSE)</f>
        <v>0.26</v>
      </c>
      <c r="J9" s="143">
        <f>VLOOKUP($A9,'Table 7 - Full data'!$A$2:$J$91,10,FALSE)</f>
        <v>0.03</v>
      </c>
      <c r="K9" s="26"/>
      <c r="L9" s="35"/>
      <c r="M9" s="36"/>
      <c r="N9" s="26"/>
      <c r="O9" s="26"/>
      <c r="P9" s="26"/>
      <c r="Q9" s="26"/>
      <c r="W9" s="50"/>
      <c r="X9" s="23"/>
      <c r="Y9" s="5"/>
      <c r="Z9" s="6"/>
      <c r="AA9" s="15"/>
      <c r="AB9" s="2"/>
      <c r="AC9" s="2"/>
      <c r="AD9" s="51"/>
      <c r="AE9" s="6"/>
      <c r="AF9" s="6"/>
      <c r="AG9" s="6"/>
      <c r="AH9" s="23"/>
      <c r="AI9" s="23"/>
    </row>
    <row r="10" spans="1:35" ht="15.5" x14ac:dyDescent="0.35">
      <c r="A10" s="40" t="str">
        <f xml:space="preserve"> "Dumfries and Galloway " &amp;$B$5</f>
        <v>Dumfries and Galloway All time</v>
      </c>
      <c r="B10" s="136">
        <f>VLOOKUP($A10, 'Table 7 - Full data'!$A$2:$J$91,2,FALSE)</f>
        <v>7085</v>
      </c>
      <c r="C10" s="143">
        <f>VLOOKUP($A10,'Table 7 - Full data'!$A$2:$J$91,3,FALSE)</f>
        <v>0.03</v>
      </c>
      <c r="D10" s="134">
        <f>VLOOKUP($A10,'Table 7 - Full data'!$A$2:$J$91,4,FALSE)</f>
        <v>6915</v>
      </c>
      <c r="E10" s="134">
        <f>VLOOKUP($A10,'Table 7 - Full data'!$A$2:$J$91,5,FALSE)</f>
        <v>4920</v>
      </c>
      <c r="F10" s="134">
        <f>VLOOKUP($A10,'Table 7 - Full data'!$A$2:$J$91,6,FALSE)</f>
        <v>1790</v>
      </c>
      <c r="G10" s="134">
        <f>VLOOKUP($A10,'Table 7 - Full data'!$A$2:$J$91,7,FALSE)</f>
        <v>210</v>
      </c>
      <c r="H10" s="143">
        <f>VLOOKUP($A10,'Table 7 - Full data'!$A$2:$J$91,8,FALSE)</f>
        <v>0.71</v>
      </c>
      <c r="I10" s="143">
        <f>VLOOKUP($A10,'Table 7 - Full data'!$A$2:$J$91,9,FALSE)</f>
        <v>0.26</v>
      </c>
      <c r="J10" s="143">
        <f>VLOOKUP($A10,'Table 7 - Full data'!$A$2:$J$91,10,FALSE)</f>
        <v>0.03</v>
      </c>
      <c r="K10" s="26"/>
      <c r="L10" s="35"/>
      <c r="M10" s="36"/>
      <c r="N10" s="26"/>
      <c r="O10" s="26"/>
      <c r="P10" s="26"/>
      <c r="Q10" s="26"/>
      <c r="W10" s="257"/>
      <c r="X10" s="23"/>
      <c r="Y10" s="5"/>
      <c r="Z10" s="6"/>
      <c r="AA10" s="15"/>
      <c r="AB10" s="2"/>
      <c r="AC10" s="2"/>
      <c r="AD10" s="51"/>
      <c r="AE10" s="6"/>
      <c r="AF10" s="6"/>
      <c r="AG10" s="6"/>
      <c r="AH10" s="23"/>
      <c r="AI10" s="23"/>
    </row>
    <row r="11" spans="1:35" ht="15.5" x14ac:dyDescent="0.35">
      <c r="A11" s="40" t="str">
        <f xml:space="preserve"> "Fife " &amp;$B$5</f>
        <v>Fife All time</v>
      </c>
      <c r="B11" s="136">
        <f>VLOOKUP($A11, 'Table 7 - Full data'!$A$2:$J$91,2,FALSE)</f>
        <v>20045</v>
      </c>
      <c r="C11" s="143">
        <f>VLOOKUP($A11,'Table 7 - Full data'!$A$2:$J$91,3,FALSE)</f>
        <v>7.0000000000000007E-2</v>
      </c>
      <c r="D11" s="134">
        <f>VLOOKUP($A11,'Table 7 - Full data'!$A$2:$J$91,4,FALSE)</f>
        <v>19490</v>
      </c>
      <c r="E11" s="134">
        <f>VLOOKUP($A11,'Table 7 - Full data'!$A$2:$J$91,5,FALSE)</f>
        <v>13880</v>
      </c>
      <c r="F11" s="134">
        <f>VLOOKUP($A11,'Table 7 - Full data'!$A$2:$J$91,6,FALSE)</f>
        <v>5050</v>
      </c>
      <c r="G11" s="134">
        <f>VLOOKUP($A11,'Table 7 - Full data'!$A$2:$J$91,7,FALSE)</f>
        <v>560</v>
      </c>
      <c r="H11" s="143">
        <f>VLOOKUP($A11,'Table 7 - Full data'!$A$2:$J$91,8,FALSE)</f>
        <v>0.71</v>
      </c>
      <c r="I11" s="143">
        <f>VLOOKUP($A11,'Table 7 - Full data'!$A$2:$J$91,9,FALSE)</f>
        <v>0.26</v>
      </c>
      <c r="J11" s="143">
        <f>VLOOKUP($A11,'Table 7 - Full data'!$A$2:$J$91,10,FALSE)</f>
        <v>0.03</v>
      </c>
      <c r="K11" s="26"/>
      <c r="L11" s="35"/>
      <c r="M11" s="36"/>
      <c r="N11" s="26"/>
      <c r="O11" s="26"/>
      <c r="P11" s="26"/>
      <c r="Q11" s="26"/>
      <c r="W11" s="257"/>
      <c r="X11" s="52"/>
      <c r="Y11" s="5"/>
      <c r="Z11" s="6"/>
      <c r="AA11" s="15"/>
      <c r="AB11" s="2"/>
      <c r="AC11" s="2"/>
      <c r="AD11" s="51"/>
      <c r="AE11" s="6"/>
      <c r="AF11" s="6"/>
      <c r="AG11" s="6"/>
      <c r="AH11" s="23"/>
      <c r="AI11" s="23"/>
    </row>
    <row r="12" spans="1:35" ht="15.5" x14ac:dyDescent="0.35">
      <c r="A12" s="40" t="str">
        <f xml:space="preserve"> "Forth Valley " &amp;$B$5</f>
        <v>Forth Valley All time</v>
      </c>
      <c r="B12" s="136">
        <f>VLOOKUP($A12, 'Table 7 - Full data'!$A$2:$J$91,2,FALSE)</f>
        <v>13635</v>
      </c>
      <c r="C12" s="143">
        <f>VLOOKUP($A12,'Table 7 - Full data'!$A$2:$J$91,3,FALSE)</f>
        <v>0.05</v>
      </c>
      <c r="D12" s="134">
        <f>VLOOKUP($A12,'Table 7 - Full data'!$A$2:$J$91,4,FALSE)</f>
        <v>13260</v>
      </c>
      <c r="E12" s="134">
        <f>VLOOKUP($A12,'Table 7 - Full data'!$A$2:$J$91,5,FALSE)</f>
        <v>9450</v>
      </c>
      <c r="F12" s="134">
        <f>VLOOKUP($A12,'Table 7 - Full data'!$A$2:$J$91,6,FALSE)</f>
        <v>3415</v>
      </c>
      <c r="G12" s="134">
        <f>VLOOKUP($A12,'Table 7 - Full data'!$A$2:$J$91,7,FALSE)</f>
        <v>400</v>
      </c>
      <c r="H12" s="143">
        <f>VLOOKUP($A12,'Table 7 - Full data'!$A$2:$J$91,8,FALSE)</f>
        <v>0.71</v>
      </c>
      <c r="I12" s="143">
        <f>VLOOKUP($A12,'Table 7 - Full data'!$A$2:$J$91,9,FALSE)</f>
        <v>0.26</v>
      </c>
      <c r="J12" s="143">
        <f>VLOOKUP($A12,'Table 7 - Full data'!$A$2:$J$91,10,FALSE)</f>
        <v>0.03</v>
      </c>
      <c r="K12" s="26"/>
      <c r="L12" s="35"/>
      <c r="M12" s="36"/>
      <c r="N12" s="26"/>
      <c r="O12" s="26"/>
      <c r="P12" s="26"/>
      <c r="Q12" s="26"/>
      <c r="W12" s="257"/>
      <c r="X12" s="23"/>
      <c r="Y12" s="5"/>
      <c r="Z12" s="6"/>
      <c r="AA12" s="15"/>
      <c r="AB12" s="2"/>
      <c r="AC12" s="2"/>
      <c r="AD12" s="51"/>
      <c r="AE12" s="6"/>
      <c r="AF12" s="6"/>
      <c r="AG12" s="6"/>
      <c r="AH12" s="23"/>
      <c r="AI12" s="23"/>
    </row>
    <row r="13" spans="1:35" ht="15.5" x14ac:dyDescent="0.35">
      <c r="A13" s="40" t="str">
        <f xml:space="preserve"> "Grampian " &amp;$B$5</f>
        <v>Grampian All time</v>
      </c>
      <c r="B13" s="136">
        <f>VLOOKUP($A13, 'Table 7 - Full data'!$A$2:$J$91,2,FALSE)</f>
        <v>18940</v>
      </c>
      <c r="C13" s="143">
        <f>VLOOKUP($A13,'Table 7 - Full data'!$A$2:$J$91,3,FALSE)</f>
        <v>7.0000000000000007E-2</v>
      </c>
      <c r="D13" s="134">
        <f>VLOOKUP($A13,'Table 7 - Full data'!$A$2:$J$91,4,FALSE)</f>
        <v>18290</v>
      </c>
      <c r="E13" s="134">
        <f>VLOOKUP($A13,'Table 7 - Full data'!$A$2:$J$91,5,FALSE)</f>
        <v>12485</v>
      </c>
      <c r="F13" s="134">
        <f>VLOOKUP($A13,'Table 7 - Full data'!$A$2:$J$91,6,FALSE)</f>
        <v>5305</v>
      </c>
      <c r="G13" s="134">
        <f>VLOOKUP($A13,'Table 7 - Full data'!$A$2:$J$91,7,FALSE)</f>
        <v>500</v>
      </c>
      <c r="H13" s="143">
        <f>VLOOKUP($A13,'Table 7 - Full data'!$A$2:$J$91,8,FALSE)</f>
        <v>0.68</v>
      </c>
      <c r="I13" s="143">
        <f>VLOOKUP($A13,'Table 7 - Full data'!$A$2:$J$91,9,FALSE)</f>
        <v>0.28999999999999998</v>
      </c>
      <c r="J13" s="143">
        <f>VLOOKUP($A13,'Table 7 - Full data'!$A$2:$J$91,10,FALSE)</f>
        <v>0.03</v>
      </c>
      <c r="K13" s="26"/>
      <c r="L13" s="35"/>
      <c r="M13" s="36"/>
      <c r="N13" s="26"/>
      <c r="O13" s="26"/>
      <c r="P13" s="26"/>
      <c r="Q13" s="26"/>
      <c r="W13" s="257"/>
      <c r="X13" s="9"/>
      <c r="Y13" s="5"/>
      <c r="Z13" s="6"/>
      <c r="AA13" s="15"/>
      <c r="AB13" s="2"/>
      <c r="AC13" s="2"/>
      <c r="AD13" s="51"/>
      <c r="AE13" s="6"/>
      <c r="AF13" s="6"/>
      <c r="AG13" s="6"/>
      <c r="AH13" s="23"/>
      <c r="AI13" s="23"/>
    </row>
    <row r="14" spans="1:35" ht="15.5" x14ac:dyDescent="0.35">
      <c r="A14" s="40" t="str">
        <f xml:space="preserve"> "Greater Glasgow and Clyde " &amp;$B$5</f>
        <v>Greater Glasgow and Clyde All time</v>
      </c>
      <c r="B14" s="136">
        <f>VLOOKUP($A14, 'Table 7 - Full data'!$A$2:$J$91,2,FALSE)</f>
        <v>71190</v>
      </c>
      <c r="C14" s="143">
        <f>VLOOKUP($A14,'Table 7 - Full data'!$A$2:$J$91,3,FALSE)</f>
        <v>0.26</v>
      </c>
      <c r="D14" s="134">
        <f>VLOOKUP($A14,'Table 7 - Full data'!$A$2:$J$91,4,FALSE)</f>
        <v>69160</v>
      </c>
      <c r="E14" s="134">
        <f>VLOOKUP($A14,'Table 7 - Full data'!$A$2:$J$91,5,FALSE)</f>
        <v>47195</v>
      </c>
      <c r="F14" s="134">
        <f>VLOOKUP($A14,'Table 7 - Full data'!$A$2:$J$91,6,FALSE)</f>
        <v>19830</v>
      </c>
      <c r="G14" s="134">
        <f>VLOOKUP($A14,'Table 7 - Full data'!$A$2:$J$91,7,FALSE)</f>
        <v>2135</v>
      </c>
      <c r="H14" s="143">
        <f>VLOOKUP($A14,'Table 7 - Full data'!$A$2:$J$91,8,FALSE)</f>
        <v>0.68</v>
      </c>
      <c r="I14" s="143">
        <f>VLOOKUP($A14,'Table 7 - Full data'!$A$2:$J$91,9,FALSE)</f>
        <v>0.28999999999999998</v>
      </c>
      <c r="J14" s="143">
        <f>VLOOKUP($A14,'Table 7 - Full data'!$A$2:$J$91,10,FALSE)</f>
        <v>0.03</v>
      </c>
      <c r="K14" s="26"/>
      <c r="L14" s="35"/>
      <c r="M14" s="36"/>
      <c r="N14" s="26"/>
      <c r="O14" s="26"/>
      <c r="P14" s="26"/>
      <c r="Q14" s="26"/>
      <c r="W14" s="257"/>
      <c r="X14" s="9"/>
      <c r="Y14" s="5"/>
      <c r="Z14" s="6"/>
      <c r="AA14" s="15"/>
      <c r="AB14" s="2"/>
      <c r="AC14" s="2"/>
      <c r="AD14" s="51"/>
      <c r="AE14" s="6"/>
      <c r="AF14" s="6"/>
      <c r="AG14" s="6"/>
      <c r="AH14" s="23"/>
      <c r="AI14" s="23"/>
    </row>
    <row r="15" spans="1:35" ht="15.5" x14ac:dyDescent="0.35">
      <c r="A15" s="40" t="str">
        <f xml:space="preserve"> "Highland " &amp;$B$5</f>
        <v>Highland All time</v>
      </c>
      <c r="B15" s="136">
        <f>VLOOKUP($A15, 'Table 7 - Full data'!$A$2:$J$91,2,FALSE)</f>
        <v>12015</v>
      </c>
      <c r="C15" s="143">
        <f>VLOOKUP($A15,'Table 7 - Full data'!$A$2:$J$91,3,FALSE)</f>
        <v>0.04</v>
      </c>
      <c r="D15" s="134">
        <f>VLOOKUP($A15,'Table 7 - Full data'!$A$2:$J$91,4,FALSE)</f>
        <v>11660</v>
      </c>
      <c r="E15" s="134">
        <f>VLOOKUP($A15,'Table 7 - Full data'!$A$2:$J$91,5,FALSE)</f>
        <v>8105</v>
      </c>
      <c r="F15" s="134">
        <f>VLOOKUP($A15,'Table 7 - Full data'!$A$2:$J$91,6,FALSE)</f>
        <v>3215</v>
      </c>
      <c r="G15" s="134">
        <f>VLOOKUP($A15,'Table 7 - Full data'!$A$2:$J$91,7,FALSE)</f>
        <v>340</v>
      </c>
      <c r="H15" s="143">
        <f>VLOOKUP($A15,'Table 7 - Full data'!$A$2:$J$91,8,FALSE)</f>
        <v>0.69</v>
      </c>
      <c r="I15" s="143">
        <f>VLOOKUP($A15,'Table 7 - Full data'!$A$2:$J$91,9,FALSE)</f>
        <v>0.28000000000000003</v>
      </c>
      <c r="J15" s="143">
        <f>VLOOKUP($A15,'Table 7 - Full data'!$A$2:$J$91,10,FALSE)</f>
        <v>0.03</v>
      </c>
      <c r="K15" s="26"/>
      <c r="L15" s="35"/>
      <c r="M15" s="36"/>
      <c r="N15" s="26"/>
      <c r="O15" s="26"/>
      <c r="P15" s="26"/>
      <c r="Q15" s="26"/>
      <c r="W15" s="257"/>
      <c r="X15" s="9"/>
      <c r="Y15" s="5"/>
      <c r="Z15" s="6"/>
      <c r="AA15" s="15"/>
      <c r="AB15" s="2"/>
      <c r="AC15" s="2"/>
      <c r="AD15" s="51"/>
      <c r="AE15" s="6"/>
      <c r="AF15" s="6"/>
      <c r="AG15" s="6"/>
      <c r="AH15" s="23"/>
      <c r="AI15" s="23"/>
    </row>
    <row r="16" spans="1:35" ht="15.5" x14ac:dyDescent="0.35">
      <c r="A16" s="40" t="str">
        <f xml:space="preserve"> "Lanarkshire " &amp;$B$5</f>
        <v>Lanarkshire All time</v>
      </c>
      <c r="B16" s="136">
        <f>VLOOKUP($A16, 'Table 7 - Full data'!$A$2:$J$91,2,FALSE)</f>
        <v>37590</v>
      </c>
      <c r="C16" s="143">
        <f>VLOOKUP($A16,'Table 7 - Full data'!$A$2:$J$91,3,FALSE)</f>
        <v>0.14000000000000001</v>
      </c>
      <c r="D16" s="134">
        <f>VLOOKUP($A16,'Table 7 - Full data'!$A$2:$J$91,4,FALSE)</f>
        <v>36530</v>
      </c>
      <c r="E16" s="134">
        <f>VLOOKUP($A16,'Table 7 - Full data'!$A$2:$J$91,5,FALSE)</f>
        <v>25395</v>
      </c>
      <c r="F16" s="134">
        <f>VLOOKUP($A16,'Table 7 - Full data'!$A$2:$J$91,6,FALSE)</f>
        <v>10040</v>
      </c>
      <c r="G16" s="134">
        <f>VLOOKUP($A16,'Table 7 - Full data'!$A$2:$J$91,7,FALSE)</f>
        <v>1095</v>
      </c>
      <c r="H16" s="143">
        <f>VLOOKUP($A16,'Table 7 - Full data'!$A$2:$J$91,8,FALSE)</f>
        <v>0.7</v>
      </c>
      <c r="I16" s="143">
        <f>VLOOKUP($A16,'Table 7 - Full data'!$A$2:$J$91,9,FALSE)</f>
        <v>0.27</v>
      </c>
      <c r="J16" s="143">
        <f>VLOOKUP($A16,'Table 7 - Full data'!$A$2:$J$91,10,FALSE)</f>
        <v>0.03</v>
      </c>
      <c r="K16" s="26"/>
      <c r="L16" s="35"/>
      <c r="M16" s="36"/>
      <c r="N16" s="26"/>
      <c r="O16" s="26"/>
      <c r="P16" s="26"/>
      <c r="Q16" s="26"/>
      <c r="W16" s="258"/>
      <c r="X16" s="9"/>
      <c r="Y16" s="5"/>
      <c r="Z16" s="6"/>
      <c r="AA16" s="15"/>
      <c r="AB16" s="2"/>
      <c r="AC16" s="2"/>
      <c r="AD16" s="51"/>
      <c r="AE16" s="6"/>
      <c r="AF16" s="6"/>
      <c r="AG16" s="6"/>
      <c r="AH16" s="23"/>
      <c r="AI16" s="23"/>
    </row>
    <row r="17" spans="1:35" ht="15.5" x14ac:dyDescent="0.35">
      <c r="A17" s="40" t="str">
        <f xml:space="preserve"> "Lothian " &amp;$B$5</f>
        <v>Lothian All time</v>
      </c>
      <c r="B17" s="136">
        <f>VLOOKUP($A17, 'Table 7 - Full data'!$A$2:$J$91,2,FALSE)</f>
        <v>36625</v>
      </c>
      <c r="C17" s="143">
        <f>VLOOKUP($A17,'Table 7 - Full data'!$A$2:$J$91,3,FALSE)</f>
        <v>0.13</v>
      </c>
      <c r="D17" s="134">
        <f>VLOOKUP($A17,'Table 7 - Full data'!$A$2:$J$91,4,FALSE)</f>
        <v>35520</v>
      </c>
      <c r="E17" s="134">
        <f>VLOOKUP($A17,'Table 7 - Full data'!$A$2:$J$91,5,FALSE)</f>
        <v>24520</v>
      </c>
      <c r="F17" s="134">
        <f>VLOOKUP($A17,'Table 7 - Full data'!$A$2:$J$91,6,FALSE)</f>
        <v>9995</v>
      </c>
      <c r="G17" s="134">
        <f>VLOOKUP($A17,'Table 7 - Full data'!$A$2:$J$91,7,FALSE)</f>
        <v>1005</v>
      </c>
      <c r="H17" s="143">
        <f>VLOOKUP($A17,'Table 7 - Full data'!$A$2:$J$91,8,FALSE)</f>
        <v>0.69</v>
      </c>
      <c r="I17" s="143">
        <f>VLOOKUP($A17,'Table 7 - Full data'!$A$2:$J$91,9,FALSE)</f>
        <v>0.28000000000000003</v>
      </c>
      <c r="J17" s="143">
        <f>VLOOKUP($A17,'Table 7 - Full data'!$A$2:$J$91,10,FALSE)</f>
        <v>0.03</v>
      </c>
      <c r="K17" s="26"/>
      <c r="L17" s="35"/>
      <c r="M17" s="36"/>
      <c r="N17" s="26"/>
      <c r="O17" s="26"/>
      <c r="P17" s="26"/>
      <c r="Q17" s="26"/>
      <c r="W17" s="258"/>
      <c r="X17" s="9"/>
      <c r="Y17" s="5"/>
      <c r="Z17" s="6"/>
      <c r="AA17" s="15"/>
      <c r="AB17" s="2"/>
      <c r="AC17" s="2"/>
      <c r="AD17" s="51"/>
      <c r="AE17" s="6"/>
      <c r="AF17" s="6"/>
      <c r="AG17" s="6"/>
      <c r="AH17" s="23"/>
      <c r="AI17" s="23"/>
    </row>
    <row r="18" spans="1:35" s="56" customFormat="1" ht="15.5" x14ac:dyDescent="0.35">
      <c r="A18" s="40" t="str">
        <f xml:space="preserve"> "Orkney " &amp;$B$5</f>
        <v>Orkney All time</v>
      </c>
      <c r="B18" s="136">
        <f>VLOOKUP($A18, 'Table 7 - Full data'!$A$2:$J$91,2,FALSE)</f>
        <v>575</v>
      </c>
      <c r="C18" s="143">
        <f>VLOOKUP($A18,'Table 7 - Full data'!$A$2:$J$91,3,FALSE)</f>
        <v>0</v>
      </c>
      <c r="D18" s="134">
        <f>VLOOKUP($A18,'Table 7 - Full data'!$A$2:$J$91,4,FALSE)</f>
        <v>565</v>
      </c>
      <c r="E18" s="134">
        <f>VLOOKUP($A18,'Table 7 - Full data'!$A$2:$J$91,5,FALSE)</f>
        <v>365</v>
      </c>
      <c r="F18" s="134">
        <f>VLOOKUP($A18,'Table 7 - Full data'!$A$2:$J$91,6,FALSE)</f>
        <v>190</v>
      </c>
      <c r="G18" s="134">
        <f>VLOOKUP($A18,'Table 7 - Full data'!$A$2:$J$91,7,FALSE)</f>
        <v>10</v>
      </c>
      <c r="H18" s="143">
        <f>VLOOKUP($A18,'Table 7 - Full data'!$A$2:$J$91,8,FALSE)</f>
        <v>0.65</v>
      </c>
      <c r="I18" s="143">
        <f>VLOOKUP($A18,'Table 7 - Full data'!$A$2:$J$91,9,FALSE)</f>
        <v>0.33</v>
      </c>
      <c r="J18" s="143">
        <f>VLOOKUP($A18,'Table 7 - Full data'!$A$2:$J$91,10,FALSE)</f>
        <v>0.02</v>
      </c>
      <c r="K18" s="55"/>
      <c r="L18" s="55"/>
      <c r="M18" s="55"/>
      <c r="N18" s="55"/>
      <c r="O18" s="55"/>
      <c r="P18" s="55"/>
      <c r="Q18" s="55"/>
      <c r="W18" s="53"/>
      <c r="X18" s="53"/>
      <c r="Y18" s="53"/>
      <c r="Z18" s="53"/>
      <c r="AA18" s="53"/>
      <c r="AB18" s="53"/>
      <c r="AC18" s="53"/>
      <c r="AD18" s="53"/>
      <c r="AE18" s="53"/>
      <c r="AF18" s="53"/>
      <c r="AG18" s="53"/>
      <c r="AH18" s="53"/>
      <c r="AI18" s="53"/>
    </row>
    <row r="19" spans="1:35" s="56" customFormat="1" ht="15.5" x14ac:dyDescent="0.35">
      <c r="A19" s="40" t="str">
        <f xml:space="preserve"> "Shetland " &amp;$B$5</f>
        <v>Shetland All time</v>
      </c>
      <c r="B19" s="136">
        <f>VLOOKUP($A19, 'Table 7 - Full data'!$A$2:$J$91,2,FALSE)</f>
        <v>530</v>
      </c>
      <c r="C19" s="143">
        <f>VLOOKUP($A19,'Table 7 - Full data'!$A$2:$J$91,3,FALSE)</f>
        <v>0</v>
      </c>
      <c r="D19" s="134">
        <f>VLOOKUP($A19,'Table 7 - Full data'!$A$2:$J$91,4,FALSE)</f>
        <v>510</v>
      </c>
      <c r="E19" s="134">
        <f>VLOOKUP($A19,'Table 7 - Full data'!$A$2:$J$91,5,FALSE)</f>
        <v>345</v>
      </c>
      <c r="F19" s="134">
        <f>VLOOKUP($A19,'Table 7 - Full data'!$A$2:$J$91,6,FALSE)</f>
        <v>150</v>
      </c>
      <c r="G19" s="134">
        <f>VLOOKUP($A19,'Table 7 - Full data'!$A$2:$J$91,7,FALSE)</f>
        <v>15</v>
      </c>
      <c r="H19" s="143">
        <f>VLOOKUP($A19,'Table 7 - Full data'!$A$2:$J$91,8,FALSE)</f>
        <v>0.67</v>
      </c>
      <c r="I19" s="143">
        <f>VLOOKUP($A19,'Table 7 - Full data'!$A$2:$J$91,9,FALSE)</f>
        <v>0.3</v>
      </c>
      <c r="J19" s="143">
        <f>VLOOKUP($A19,'Table 7 - Full data'!$A$2:$J$91,10,FALSE)</f>
        <v>0.03</v>
      </c>
      <c r="K19" s="55"/>
      <c r="L19" s="55"/>
      <c r="M19" s="55"/>
      <c r="N19" s="55"/>
      <c r="O19" s="55"/>
      <c r="P19" s="55"/>
      <c r="Q19" s="55"/>
      <c r="W19" s="53"/>
      <c r="X19" s="53"/>
      <c r="Y19" s="53"/>
      <c r="Z19" s="53"/>
      <c r="AA19" s="53"/>
      <c r="AB19" s="53"/>
      <c r="AC19" s="53"/>
      <c r="AD19" s="53"/>
      <c r="AE19" s="53"/>
      <c r="AF19" s="53"/>
      <c r="AG19" s="53"/>
      <c r="AH19" s="53"/>
      <c r="AI19" s="53"/>
    </row>
    <row r="20" spans="1:35" s="56" customFormat="1" ht="15.5" x14ac:dyDescent="0.35">
      <c r="A20" s="40" t="str">
        <f xml:space="preserve"> "Tayside " &amp;$B$5</f>
        <v>Tayside All time</v>
      </c>
      <c r="B20" s="136">
        <f>VLOOKUP($A20, 'Table 7 - Full data'!$A$2:$J$91,2,FALSE)</f>
        <v>19705</v>
      </c>
      <c r="C20" s="143">
        <f>VLOOKUP($A20,'Table 7 - Full data'!$A$2:$J$91,3,FALSE)</f>
        <v>7.0000000000000007E-2</v>
      </c>
      <c r="D20" s="134">
        <f>VLOOKUP($A20,'Table 7 - Full data'!$A$2:$J$91,4,FALSE)</f>
        <v>19145</v>
      </c>
      <c r="E20" s="134">
        <f>VLOOKUP($A20,'Table 7 - Full data'!$A$2:$J$91,5,FALSE)</f>
        <v>13585</v>
      </c>
      <c r="F20" s="134">
        <f>VLOOKUP($A20,'Table 7 - Full data'!$A$2:$J$91,6,FALSE)</f>
        <v>5020</v>
      </c>
      <c r="G20" s="134">
        <f>VLOOKUP($A20,'Table 7 - Full data'!$A$2:$J$91,7,FALSE)</f>
        <v>540</v>
      </c>
      <c r="H20" s="143">
        <f>VLOOKUP($A20,'Table 7 - Full data'!$A$2:$J$91,8,FALSE)</f>
        <v>0.71</v>
      </c>
      <c r="I20" s="143">
        <f>VLOOKUP($A20,'Table 7 - Full data'!$A$2:$J$91,9,FALSE)</f>
        <v>0.26</v>
      </c>
      <c r="J20" s="143">
        <f>VLOOKUP($A20,'Table 7 - Full data'!$A$2:$J$91,10,FALSE)</f>
        <v>0.03</v>
      </c>
      <c r="K20" s="27"/>
      <c r="L20" s="55"/>
      <c r="M20" s="55"/>
      <c r="N20" s="55"/>
      <c r="O20" s="55"/>
      <c r="P20" s="55"/>
      <c r="Q20" s="55"/>
      <c r="W20" s="53"/>
      <c r="X20" s="53"/>
      <c r="Y20" s="53"/>
      <c r="Z20" s="53"/>
      <c r="AA20" s="53"/>
      <c r="AB20" s="53"/>
      <c r="AC20" s="53"/>
      <c r="AD20" s="53"/>
      <c r="AE20" s="53"/>
      <c r="AF20" s="53"/>
      <c r="AG20" s="53"/>
      <c r="AH20" s="53"/>
      <c r="AI20" s="53"/>
    </row>
    <row r="21" spans="1:35" s="76" customFormat="1" ht="15.5" x14ac:dyDescent="0.35">
      <c r="A21" s="40" t="str">
        <f xml:space="preserve"> "Western Isles " &amp;$B$5</f>
        <v>Western Isles All time</v>
      </c>
      <c r="B21" s="136">
        <f>VLOOKUP($A21, 'Table 7 - Full data'!$A$2:$J$91,2,FALSE)</f>
        <v>810</v>
      </c>
      <c r="C21" s="143">
        <f>VLOOKUP($A21,'Table 7 - Full data'!$A$2:$J$91,3,FALSE)</f>
        <v>0</v>
      </c>
      <c r="D21" s="134">
        <f>VLOOKUP($A21,'Table 7 - Full data'!$A$2:$J$91,4,FALSE)</f>
        <v>780</v>
      </c>
      <c r="E21" s="134">
        <f>VLOOKUP($A21,'Table 7 - Full data'!$A$2:$J$91,5,FALSE)</f>
        <v>515</v>
      </c>
      <c r="F21" s="134">
        <f>VLOOKUP($A21,'Table 7 - Full data'!$A$2:$J$91,6,FALSE)</f>
        <v>250</v>
      </c>
      <c r="G21" s="134">
        <f>VLOOKUP($A21,'Table 7 - Full data'!$A$2:$J$91,7,FALSE)</f>
        <v>15</v>
      </c>
      <c r="H21" s="143">
        <f>VLOOKUP($A21,'Table 7 - Full data'!$A$2:$J$91,8,FALSE)</f>
        <v>0.66</v>
      </c>
      <c r="I21" s="143">
        <f>VLOOKUP($A21,'Table 7 - Full data'!$A$2:$J$91,9,FALSE)</f>
        <v>0.32</v>
      </c>
      <c r="J21" s="143">
        <f>VLOOKUP($A21,'Table 7 - Full data'!$A$2:$J$91,10,FALSE)</f>
        <v>0.02</v>
      </c>
      <c r="K21" s="27"/>
      <c r="L21" s="106"/>
      <c r="M21" s="106"/>
      <c r="N21" s="106"/>
      <c r="O21" s="106"/>
      <c r="P21" s="106"/>
      <c r="Q21" s="106"/>
      <c r="W21" s="53"/>
      <c r="X21" s="53"/>
      <c r="Y21" s="53"/>
      <c r="Z21" s="53"/>
      <c r="AA21" s="53"/>
      <c r="AB21" s="53"/>
      <c r="AC21" s="53"/>
      <c r="AD21" s="53"/>
      <c r="AE21" s="53"/>
      <c r="AF21" s="53"/>
      <c r="AG21" s="53"/>
      <c r="AH21" s="53"/>
      <c r="AI21" s="53"/>
    </row>
    <row r="22" spans="1:35" s="56" customFormat="1" ht="15.5" x14ac:dyDescent="0.35">
      <c r="A22" s="40" t="str">
        <f xml:space="preserve"> "Unknown - Scottish address " &amp;$B$5</f>
        <v>Unknown - Scottish address All time</v>
      </c>
      <c r="B22" s="136">
        <f>VLOOKUP($A22, 'Table 7 - Full data'!$A$2:$J$91,2,FALSE)</f>
        <v>295</v>
      </c>
      <c r="C22" s="143">
        <f>VLOOKUP($A22,'Table 7 - Full data'!$A$2:$J$91,3,FALSE)</f>
        <v>0</v>
      </c>
      <c r="D22" s="134">
        <f>VLOOKUP($A22,'Table 7 - Full data'!$A$2:$J$91,4,FALSE)</f>
        <v>285</v>
      </c>
      <c r="E22" s="134">
        <f>VLOOKUP($A22,'Table 7 - Full data'!$A$2:$J$91,5,FALSE)</f>
        <v>205</v>
      </c>
      <c r="F22" s="134">
        <f>VLOOKUP($A22,'Table 7 - Full data'!$A$2:$J$91,6,FALSE)</f>
        <v>70</v>
      </c>
      <c r="G22" s="134">
        <f>VLOOKUP($A22,'Table 7 - Full data'!$A$2:$J$91,7,FALSE)</f>
        <v>10</v>
      </c>
      <c r="H22" s="143">
        <f>VLOOKUP($A22,'Table 7 - Full data'!$A$2:$J$91,8,FALSE)</f>
        <v>0.72</v>
      </c>
      <c r="I22" s="143">
        <f>VLOOKUP($A22,'Table 7 - Full data'!$A$2:$J$91,9,FALSE)</f>
        <v>0.24</v>
      </c>
      <c r="J22" s="143">
        <f>VLOOKUP($A22,'Table 7 - Full data'!$A$2:$J$91,10,FALSE)</f>
        <v>0.04</v>
      </c>
      <c r="K22" s="55"/>
      <c r="L22" s="55"/>
      <c r="M22" s="55"/>
      <c r="N22" s="55"/>
      <c r="O22" s="55"/>
      <c r="P22" s="55"/>
      <c r="Q22" s="55"/>
      <c r="W22" s="53"/>
      <c r="X22" s="53"/>
      <c r="Y22" s="53"/>
      <c r="Z22" s="53"/>
      <c r="AA22" s="53"/>
      <c r="AB22" s="53"/>
      <c r="AC22" s="53"/>
      <c r="AD22" s="53"/>
      <c r="AE22" s="53"/>
      <c r="AF22" s="53"/>
      <c r="AG22" s="53"/>
      <c r="AH22" s="53"/>
      <c r="AI22" s="53"/>
    </row>
    <row r="23" spans="1:35" s="76" customFormat="1" ht="15.5" x14ac:dyDescent="0.35">
      <c r="A23" s="40" t="str">
        <f xml:space="preserve"> "Non-Scottish postcode " &amp;$B$5</f>
        <v>Non-Scottish postcode All time</v>
      </c>
      <c r="B23" s="136">
        <f>VLOOKUP($A23, 'Table 7 - Full data'!$A$2:$J$91,2,FALSE)</f>
        <v>10025</v>
      </c>
      <c r="C23" s="143">
        <f>VLOOKUP($A23,'Table 7 - Full data'!$A$2:$J$91,3,FALSE)</f>
        <v>0.04</v>
      </c>
      <c r="D23" s="134">
        <f>VLOOKUP($A23,'Table 7 - Full data'!$A$2:$J$91,4,FALSE)</f>
        <v>10005</v>
      </c>
      <c r="E23" s="134">
        <f>VLOOKUP($A23,'Table 7 - Full data'!$A$2:$J$91,5,FALSE)</f>
        <v>140</v>
      </c>
      <c r="F23" s="134">
        <f>VLOOKUP($A23,'Table 7 - Full data'!$A$2:$J$91,6,FALSE)</f>
        <v>9750</v>
      </c>
      <c r="G23" s="134">
        <f>VLOOKUP($A23,'Table 7 - Full data'!$A$2:$J$91,7,FALSE)</f>
        <v>115</v>
      </c>
      <c r="H23" s="143">
        <f>VLOOKUP($A23,'Table 7 - Full data'!$A$2:$J$91,8,FALSE)</f>
        <v>0.01</v>
      </c>
      <c r="I23" s="143">
        <f>VLOOKUP($A23,'Table 7 - Full data'!$A$2:$J$91,9,FALSE)</f>
        <v>0.97</v>
      </c>
      <c r="J23" s="143">
        <f>VLOOKUP($A23,'Table 7 - Full data'!$A$2:$J$91,10,FALSE)</f>
        <v>0.01</v>
      </c>
      <c r="K23" s="106"/>
      <c r="L23" s="106"/>
      <c r="M23" s="106"/>
      <c r="N23" s="106"/>
      <c r="O23" s="106"/>
      <c r="P23" s="106"/>
      <c r="Q23" s="106"/>
      <c r="W23" s="53"/>
      <c r="X23" s="53"/>
      <c r="Y23" s="53"/>
      <c r="Z23" s="53"/>
      <c r="AA23" s="53"/>
      <c r="AB23" s="53"/>
      <c r="AC23" s="53"/>
      <c r="AD23" s="53"/>
      <c r="AE23" s="53"/>
      <c r="AF23" s="53"/>
      <c r="AG23" s="53"/>
      <c r="AH23" s="53"/>
      <c r="AI23" s="53"/>
    </row>
    <row r="24" spans="1:35" s="56" customFormat="1" ht="15.5" x14ac:dyDescent="0.35">
      <c r="A24" s="40" t="str">
        <f xml:space="preserve"> "No address " &amp;$B$5</f>
        <v>No address All time</v>
      </c>
      <c r="B24" s="136">
        <f>VLOOKUP($A24, 'Table 7 - Full data'!$A$2:$J$91,2,FALSE)</f>
        <v>440</v>
      </c>
      <c r="C24" s="143">
        <f>VLOOKUP($A24,'Table 7 - Full data'!$A$2:$J$91,3,FALSE)</f>
        <v>0</v>
      </c>
      <c r="D24" s="134">
        <f>VLOOKUP($A24,'Table 7 - Full data'!$A$2:$J$91,4,FALSE)</f>
        <v>235</v>
      </c>
      <c r="E24" s="134">
        <f>VLOOKUP($A24,'Table 7 - Full data'!$A$2:$J$91,5,FALSE)</f>
        <v>5</v>
      </c>
      <c r="F24" s="134">
        <f>VLOOKUP($A24,'Table 7 - Full data'!$A$2:$J$91,6,FALSE)</f>
        <v>5</v>
      </c>
      <c r="G24" s="134">
        <f>VLOOKUP($A24,'Table 7 - Full data'!$A$2:$J$91,7,FALSE)</f>
        <v>225</v>
      </c>
      <c r="H24" s="143">
        <f>VLOOKUP($A24,'Table 7 - Full data'!$A$2:$J$91,8,FALSE)</f>
        <v>0.03</v>
      </c>
      <c r="I24" s="143">
        <f>VLOOKUP($A24,'Table 7 - Full data'!$A$2:$J$91,9,FALSE)</f>
        <v>0.02</v>
      </c>
      <c r="J24" s="143">
        <f>VLOOKUP($A24,'Table 7 - Full data'!$A$2:$J$91,10,FALSE)</f>
        <v>0.95</v>
      </c>
      <c r="K24" s="55"/>
      <c r="L24" s="55"/>
      <c r="M24" s="55"/>
      <c r="N24" s="55"/>
      <c r="O24" s="55"/>
      <c r="P24" s="55"/>
      <c r="Q24" s="55"/>
      <c r="W24" s="53"/>
      <c r="X24" s="53"/>
      <c r="Y24" s="53"/>
      <c r="Z24" s="53"/>
      <c r="AA24" s="53"/>
      <c r="AB24" s="53"/>
      <c r="AC24" s="53"/>
      <c r="AD24" s="53"/>
      <c r="AE24" s="53"/>
      <c r="AF24" s="53"/>
      <c r="AG24" s="53"/>
      <c r="AH24" s="53"/>
      <c r="AI24" s="53"/>
    </row>
    <row r="25" spans="1:35" ht="21.65" customHeight="1" x14ac:dyDescent="0.35">
      <c r="A25" s="55" t="s">
        <v>9</v>
      </c>
      <c r="B25" s="55"/>
      <c r="C25" s="55"/>
      <c r="D25" s="55"/>
      <c r="E25" s="55"/>
      <c r="F25" s="55"/>
      <c r="G25" s="55"/>
      <c r="H25" s="55"/>
      <c r="I25" s="55"/>
      <c r="J25" s="55"/>
      <c r="K25" s="26"/>
      <c r="L25" s="26"/>
      <c r="M25" s="26"/>
      <c r="N25" s="26"/>
      <c r="O25" s="26"/>
      <c r="P25" s="26"/>
      <c r="Q25" s="26"/>
    </row>
    <row r="26" spans="1:35" ht="15.5" x14ac:dyDescent="0.35">
      <c r="A26" s="63" t="s">
        <v>79</v>
      </c>
      <c r="B26" s="55"/>
      <c r="C26" s="55"/>
      <c r="D26" s="55"/>
      <c r="E26" s="55"/>
      <c r="F26" s="55"/>
      <c r="G26" s="55"/>
      <c r="H26" s="55"/>
      <c r="I26" s="55"/>
      <c r="J26" s="55"/>
      <c r="K26" s="26"/>
      <c r="L26" s="26"/>
      <c r="M26" s="26"/>
      <c r="N26" s="26"/>
      <c r="O26" s="26"/>
      <c r="P26" s="26"/>
      <c r="Q26" s="26"/>
    </row>
    <row r="27" spans="1:35" ht="15.5" x14ac:dyDescent="0.35">
      <c r="A27" s="44" t="s">
        <v>633</v>
      </c>
      <c r="B27" s="44"/>
      <c r="C27" s="44"/>
      <c r="D27" s="44"/>
      <c r="E27" s="44"/>
      <c r="F27" s="44"/>
      <c r="G27" s="44"/>
      <c r="H27" s="44"/>
      <c r="I27" s="44"/>
      <c r="J27" s="44"/>
      <c r="K27" s="44"/>
      <c r="L27" s="44"/>
      <c r="M27" s="10"/>
    </row>
    <row r="28" spans="1:35" ht="15.5" x14ac:dyDescent="0.35">
      <c r="A28" s="44" t="s">
        <v>634</v>
      </c>
      <c r="B28" s="44"/>
      <c r="C28" s="44"/>
      <c r="D28" s="44"/>
      <c r="E28" s="44"/>
      <c r="F28" s="44"/>
      <c r="G28" s="44"/>
      <c r="H28" s="44"/>
      <c r="I28" s="44"/>
      <c r="J28" s="44"/>
      <c r="K28" s="44"/>
      <c r="L28" s="44"/>
      <c r="M28" s="10"/>
    </row>
    <row r="29" spans="1:35" ht="15.5" x14ac:dyDescent="0.35">
      <c r="A29" s="45" t="s">
        <v>649</v>
      </c>
      <c r="B29" s="44"/>
      <c r="C29" s="44"/>
      <c r="D29" s="44"/>
      <c r="E29" s="44"/>
      <c r="F29" s="44"/>
      <c r="G29" s="44"/>
      <c r="H29" s="44"/>
      <c r="I29" s="44"/>
      <c r="J29" s="44"/>
      <c r="K29" s="44"/>
      <c r="L29" s="44"/>
      <c r="M29" s="10"/>
    </row>
    <row r="30" spans="1:35" ht="15.5" x14ac:dyDescent="0.35">
      <c r="A30" s="45" t="s">
        <v>635</v>
      </c>
      <c r="B30" s="44"/>
      <c r="C30" s="44"/>
      <c r="D30" s="44"/>
      <c r="E30" s="44"/>
      <c r="F30" s="44"/>
      <c r="G30" s="44"/>
      <c r="H30" s="44"/>
      <c r="I30" s="44"/>
      <c r="J30" s="44"/>
      <c r="K30" s="44"/>
      <c r="L30" s="44"/>
      <c r="M30" s="10"/>
    </row>
    <row r="31" spans="1:35" ht="137.15" customHeight="1" x14ac:dyDescent="0.35">
      <c r="A31" s="128" t="s">
        <v>683</v>
      </c>
      <c r="B31" s="27"/>
      <c r="C31" s="27"/>
      <c r="D31" s="27"/>
      <c r="E31" s="27"/>
      <c r="F31" s="27"/>
      <c r="G31" s="27"/>
      <c r="H31" s="27"/>
      <c r="I31" s="27"/>
      <c r="J31" s="27"/>
      <c r="K31" s="26"/>
      <c r="L31" s="26"/>
      <c r="M31" s="26"/>
      <c r="N31" s="26"/>
      <c r="O31" s="26"/>
      <c r="P31" s="26"/>
      <c r="Q31" s="26"/>
    </row>
    <row r="32" spans="1:35" ht="137.15" customHeight="1" x14ac:dyDescent="0.35">
      <c r="A32" s="43" t="s">
        <v>665</v>
      </c>
      <c r="B32" s="55"/>
      <c r="C32" s="55"/>
      <c r="D32" s="55"/>
      <c r="E32" s="55"/>
      <c r="F32" s="55"/>
      <c r="G32" s="55"/>
      <c r="H32" s="55"/>
      <c r="I32" s="55"/>
      <c r="J32" s="55"/>
      <c r="K32" s="26"/>
      <c r="L32" s="26"/>
      <c r="M32" s="26"/>
      <c r="N32" s="26"/>
      <c r="O32" s="26"/>
      <c r="P32" s="26"/>
      <c r="Q32" s="26"/>
    </row>
    <row r="33" spans="1:17" ht="15.5" x14ac:dyDescent="0.35">
      <c r="A33" s="179" t="s">
        <v>684</v>
      </c>
      <c r="B33" s="55"/>
      <c r="C33" s="55"/>
      <c r="D33" s="55"/>
      <c r="E33" s="55"/>
      <c r="F33" s="55"/>
      <c r="G33" s="55"/>
      <c r="H33" s="55"/>
      <c r="I33" s="55"/>
      <c r="J33" s="55"/>
      <c r="K33" s="26"/>
      <c r="L33" s="26"/>
      <c r="M33" s="26"/>
      <c r="N33" s="26"/>
      <c r="O33" s="26"/>
      <c r="P33" s="26"/>
      <c r="Q33" s="26"/>
    </row>
    <row r="34" spans="1:17" ht="15.5" x14ac:dyDescent="0.35">
      <c r="A34" s="179" t="s">
        <v>661</v>
      </c>
      <c r="B34" s="26"/>
      <c r="C34" s="26"/>
      <c r="D34" s="26"/>
      <c r="E34" s="26"/>
      <c r="F34" s="26"/>
      <c r="G34" s="26"/>
      <c r="H34" s="26"/>
      <c r="I34" s="26"/>
      <c r="J34" s="26"/>
      <c r="K34" s="26"/>
      <c r="L34" s="26"/>
      <c r="M34" s="26"/>
      <c r="N34" s="26"/>
      <c r="O34" s="26"/>
      <c r="P34" s="26"/>
      <c r="Q34" s="26"/>
    </row>
    <row r="35" spans="1:17" ht="15.5" x14ac:dyDescent="0.35">
      <c r="A35" s="36" t="s">
        <v>662</v>
      </c>
      <c r="B35" s="26"/>
      <c r="C35" s="26"/>
      <c r="D35" s="26"/>
      <c r="E35" s="26"/>
      <c r="F35" s="26"/>
      <c r="G35" s="26"/>
      <c r="H35" s="26"/>
      <c r="I35" s="26"/>
      <c r="J35" s="26"/>
      <c r="K35" s="26"/>
      <c r="L35" s="26"/>
      <c r="M35" s="26"/>
      <c r="N35" s="26"/>
      <c r="O35" s="26"/>
      <c r="P35" s="26"/>
      <c r="Q35" s="26"/>
    </row>
    <row r="36" spans="1:17" ht="15.5" x14ac:dyDescent="0.35">
      <c r="A36" s="36" t="s">
        <v>663</v>
      </c>
      <c r="B36" s="26"/>
      <c r="C36" s="26"/>
      <c r="D36" s="26"/>
      <c r="E36" s="26"/>
      <c r="F36" s="26"/>
      <c r="G36" s="26"/>
      <c r="H36" s="26"/>
      <c r="I36" s="26"/>
      <c r="J36" s="26"/>
      <c r="K36" s="26"/>
      <c r="L36" s="26"/>
      <c r="M36" s="26"/>
      <c r="N36" s="26"/>
      <c r="O36" s="26"/>
      <c r="P36" s="26"/>
      <c r="Q36" s="26"/>
    </row>
    <row r="37" spans="1:17" ht="15.5" x14ac:dyDescent="0.35">
      <c r="A37" s="36" t="s">
        <v>664</v>
      </c>
      <c r="B37" s="26"/>
      <c r="C37" s="26"/>
      <c r="D37" s="26"/>
      <c r="E37" s="26"/>
      <c r="F37" s="26"/>
      <c r="G37" s="26"/>
      <c r="H37" s="26"/>
      <c r="I37" s="26"/>
      <c r="J37" s="26"/>
      <c r="K37" s="26"/>
      <c r="L37" s="26"/>
      <c r="M37" s="26"/>
      <c r="N37" s="26"/>
      <c r="O37" s="26"/>
      <c r="P37" s="26"/>
      <c r="Q37" s="26"/>
    </row>
    <row r="38" spans="1:17" ht="15.5" x14ac:dyDescent="0.35">
      <c r="A38" s="179" t="s">
        <v>10</v>
      </c>
      <c r="B38" s="26"/>
      <c r="C38" s="26"/>
      <c r="D38" s="26"/>
      <c r="E38" s="26"/>
      <c r="F38" s="26"/>
      <c r="G38" s="26"/>
      <c r="H38" s="26"/>
      <c r="I38" s="26"/>
      <c r="J38" s="26"/>
      <c r="K38" s="26"/>
      <c r="L38" s="26"/>
      <c r="M38" s="26"/>
      <c r="N38" s="26"/>
      <c r="O38" s="26"/>
      <c r="P38" s="26"/>
      <c r="Q38" s="26"/>
    </row>
    <row r="39" spans="1:17" ht="15.5" x14ac:dyDescent="0.35">
      <c r="B39" s="26"/>
      <c r="C39" s="26"/>
      <c r="D39" s="26"/>
      <c r="E39" s="26"/>
      <c r="F39" s="26"/>
      <c r="G39" s="26"/>
      <c r="H39" s="26"/>
      <c r="I39" s="26"/>
      <c r="J39" s="26"/>
    </row>
    <row r="40" spans="1:17" ht="15.5" x14ac:dyDescent="0.35">
      <c r="B40" s="26"/>
      <c r="C40" s="26"/>
      <c r="D40" s="26"/>
      <c r="E40" s="26"/>
      <c r="F40" s="26"/>
      <c r="G40" s="26"/>
      <c r="H40" s="26"/>
      <c r="I40" s="26"/>
      <c r="J40" s="26"/>
    </row>
    <row r="41" spans="1:17" ht="15.5" x14ac:dyDescent="0.35">
      <c r="B41" s="26"/>
      <c r="C41" s="26"/>
      <c r="D41" s="26"/>
      <c r="E41" s="26"/>
      <c r="F41" s="26"/>
      <c r="G41" s="26"/>
      <c r="H41" s="26"/>
      <c r="I41" s="26"/>
      <c r="J41" s="26"/>
    </row>
    <row r="42" spans="1:17" ht="15.5" x14ac:dyDescent="0.35">
      <c r="B42" s="26"/>
      <c r="C42" s="26"/>
      <c r="D42" s="26"/>
      <c r="E42" s="26"/>
      <c r="F42" s="26"/>
      <c r="G42" s="26"/>
      <c r="H42" s="26"/>
      <c r="I42" s="26"/>
      <c r="J42" s="26"/>
    </row>
    <row r="46" spans="1:17" x14ac:dyDescent="0.35">
      <c r="B46" s="56"/>
      <c r="C46" s="56"/>
      <c r="D46" s="56"/>
      <c r="E46" s="56"/>
      <c r="F46" s="56"/>
      <c r="G46" s="56"/>
      <c r="H46" s="56"/>
      <c r="I46" s="56"/>
      <c r="J46" s="56"/>
    </row>
  </sheetData>
  <mergeCells count="5">
    <mergeCell ref="W5:X6"/>
    <mergeCell ref="Y5:Z5"/>
    <mergeCell ref="AA5:AG5"/>
    <mergeCell ref="W8:X8"/>
    <mergeCell ref="W10:W17"/>
  </mergeCells>
  <conditionalFormatting sqref="AE8:AG17">
    <cfRule type="dataBar" priority="10">
      <dataBar>
        <cfvo type="num" val="0"/>
        <cfvo type="num" val="1"/>
        <color theme="4" tint="-0.249977111117893"/>
      </dataBar>
      <extLst>
        <ext xmlns:x14="http://schemas.microsoft.com/office/spreadsheetml/2009/9/main" uri="{B025F937-C7B1-47D3-B67F-A62EFF666E3E}">
          <x14:id>{F4643818-47D3-4C1B-A9B4-E23301993BDC}</x14:id>
        </ext>
      </extLst>
    </cfRule>
  </conditionalFormatting>
  <conditionalFormatting sqref="Z8:Z17">
    <cfRule type="dataBar" priority="9">
      <dataBar>
        <cfvo type="num" val="0"/>
        <cfvo type="num" val="1"/>
        <color theme="4" tint="-0.249977111117893"/>
      </dataBar>
      <extLst>
        <ext xmlns:x14="http://schemas.microsoft.com/office/spreadsheetml/2009/9/main" uri="{B025F937-C7B1-47D3-B67F-A62EFF666E3E}">
          <x14:id>{CBFE9494-3FAC-40E1-9834-964B3D06FC8D}</x14:id>
        </ext>
      </extLst>
    </cfRule>
  </conditionalFormatting>
  <conditionalFormatting sqref="H22:J22 C22 C7:C20 H7:J20">
    <cfRule type="dataBar" priority="5">
      <dataBar>
        <cfvo type="num" val="0"/>
        <cfvo type="num" val="1"/>
        <color rgb="FFB4A9D4"/>
      </dataBar>
      <extLst>
        <ext xmlns:x14="http://schemas.microsoft.com/office/spreadsheetml/2009/9/main" uri="{B025F937-C7B1-47D3-B67F-A62EFF666E3E}">
          <x14:id>{E4FA068A-6ABC-4037-B49E-3D0578CBDE97}</x14:id>
        </ext>
      </extLst>
    </cfRule>
  </conditionalFormatting>
  <conditionalFormatting sqref="H21:J21 C21">
    <cfRule type="dataBar" priority="4">
      <dataBar>
        <cfvo type="num" val="0"/>
        <cfvo type="num" val="1"/>
        <color rgb="FFB4A9D4"/>
      </dataBar>
      <extLst>
        <ext xmlns:x14="http://schemas.microsoft.com/office/spreadsheetml/2009/9/main" uri="{B025F937-C7B1-47D3-B67F-A62EFF666E3E}">
          <x14:id>{0E9EC4BF-23B8-4E2A-B9B9-53DC60EE7F11}</x14:id>
        </ext>
      </extLst>
    </cfRule>
  </conditionalFormatting>
  <conditionalFormatting sqref="H23:J23 C23">
    <cfRule type="dataBar" priority="3">
      <dataBar>
        <cfvo type="num" val="0"/>
        <cfvo type="num" val="1"/>
        <color rgb="FFB4A9D4"/>
      </dataBar>
      <extLst>
        <ext xmlns:x14="http://schemas.microsoft.com/office/spreadsheetml/2009/9/main" uri="{B025F937-C7B1-47D3-B67F-A62EFF666E3E}">
          <x14:id>{419A6964-D493-495C-B1E9-543EFACACE71}</x14:id>
        </ext>
      </extLst>
    </cfRule>
  </conditionalFormatting>
  <conditionalFormatting sqref="H24:J24 C24">
    <cfRule type="dataBar" priority="2">
      <dataBar>
        <cfvo type="num" val="0"/>
        <cfvo type="num" val="1"/>
        <color rgb="FFB4A9D4"/>
      </dataBar>
      <extLst>
        <ext xmlns:x14="http://schemas.microsoft.com/office/spreadsheetml/2009/9/main" uri="{B025F937-C7B1-47D3-B67F-A62EFF666E3E}">
          <x14:id>{7ADDE6DB-820D-4441-946A-05B826F441D5}</x14:id>
        </ext>
      </extLst>
    </cfRule>
  </conditionalFormatting>
  <conditionalFormatting sqref="M27:M30">
    <cfRule type="dataBar" priority="1">
      <dataBar>
        <cfvo type="min"/>
        <cfvo type="max"/>
        <color rgb="FF638EC6"/>
      </dataBar>
      <extLst>
        <ext xmlns:x14="http://schemas.microsoft.com/office/spreadsheetml/2009/9/main" uri="{B025F937-C7B1-47D3-B67F-A62EFF666E3E}">
          <x14:id>{4CB9EEC0-226C-49ED-8B2E-B019CE6250EC}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643818-47D3-4C1B-A9B4-E23301993BDC}">
            <x14:dataBar minLength="0" maxLength="100" border="1">
              <x14:cfvo type="num">
                <xm:f>0</xm:f>
              </x14:cfvo>
              <x14:cfvo type="num">
                <xm:f>1</xm:f>
              </x14:cfvo>
              <x14:borderColor theme="8" tint="0.39997558519241921"/>
              <x14:negativeFillColor rgb="FFFF0000"/>
              <x14:axisColor rgb="FF000000"/>
            </x14:dataBar>
          </x14:cfRule>
          <xm:sqref>AE8:AG17</xm:sqref>
        </x14:conditionalFormatting>
        <x14:conditionalFormatting xmlns:xm="http://schemas.microsoft.com/office/excel/2006/main">
          <x14:cfRule type="dataBar" id="{CBFE9494-3FAC-40E1-9834-964B3D06FC8D}">
            <x14:dataBar minLength="0" maxLength="100" border="1">
              <x14:cfvo type="num">
                <xm:f>0</xm:f>
              </x14:cfvo>
              <x14:cfvo type="num">
                <xm:f>1</xm:f>
              </x14:cfvo>
              <x14:borderColor theme="8" tint="0.39997558519241921"/>
              <x14:negativeFillColor rgb="FFFF0000"/>
              <x14:axisColor rgb="FF000000"/>
            </x14:dataBar>
          </x14:cfRule>
          <xm:sqref>Z8:Z17</xm:sqref>
        </x14:conditionalFormatting>
        <x14:conditionalFormatting xmlns:xm="http://schemas.microsoft.com/office/excel/2006/main">
          <x14:cfRule type="dataBar" id="{E4FA068A-6ABC-4037-B49E-3D0578CBDE97}">
            <x14:dataBar minLength="0" maxLength="100" gradient="0">
              <x14:cfvo type="num">
                <xm:f>0</xm:f>
              </x14:cfvo>
              <x14:cfvo type="num">
                <xm:f>1</xm:f>
              </x14:cfvo>
              <x14:negativeFillColor rgb="FFFF0000"/>
              <x14:axisColor rgb="FF000000"/>
            </x14:dataBar>
          </x14:cfRule>
          <xm:sqref>H22:J22 C22 C7:C20 H7:J20</xm:sqref>
        </x14:conditionalFormatting>
        <x14:conditionalFormatting xmlns:xm="http://schemas.microsoft.com/office/excel/2006/main">
          <x14:cfRule type="dataBar" id="{0E9EC4BF-23B8-4E2A-B9B9-53DC60EE7F11}">
            <x14:dataBar minLength="0" maxLength="100" gradient="0">
              <x14:cfvo type="num">
                <xm:f>0</xm:f>
              </x14:cfvo>
              <x14:cfvo type="num">
                <xm:f>1</xm:f>
              </x14:cfvo>
              <x14:negativeFillColor rgb="FFFF0000"/>
              <x14:axisColor rgb="FF000000"/>
            </x14:dataBar>
          </x14:cfRule>
          <xm:sqref>H21:J21 C21</xm:sqref>
        </x14:conditionalFormatting>
        <x14:conditionalFormatting xmlns:xm="http://schemas.microsoft.com/office/excel/2006/main">
          <x14:cfRule type="dataBar" id="{419A6964-D493-495C-B1E9-543EFACACE71}">
            <x14:dataBar minLength="0" maxLength="100" gradient="0">
              <x14:cfvo type="num">
                <xm:f>0</xm:f>
              </x14:cfvo>
              <x14:cfvo type="num">
                <xm:f>1</xm:f>
              </x14:cfvo>
              <x14:negativeFillColor rgb="FFFF0000"/>
              <x14:axisColor rgb="FF000000"/>
            </x14:dataBar>
          </x14:cfRule>
          <xm:sqref>H23:J23 C23</xm:sqref>
        </x14:conditionalFormatting>
        <x14:conditionalFormatting xmlns:xm="http://schemas.microsoft.com/office/excel/2006/main">
          <x14:cfRule type="dataBar" id="{7ADDE6DB-820D-4441-946A-05B826F441D5}">
            <x14:dataBar minLength="0" maxLength="100" gradient="0">
              <x14:cfvo type="num">
                <xm:f>0</xm:f>
              </x14:cfvo>
              <x14:cfvo type="num">
                <xm:f>1</xm:f>
              </x14:cfvo>
              <x14:negativeFillColor rgb="FFFF0000"/>
              <x14:axisColor rgb="FF000000"/>
            </x14:dataBar>
          </x14:cfRule>
          <xm:sqref>H24:J24 C24</xm:sqref>
        </x14:conditionalFormatting>
        <x14:conditionalFormatting xmlns:xm="http://schemas.microsoft.com/office/excel/2006/main">
          <x14:cfRule type="dataBar" id="{4CB9EEC0-226C-49ED-8B2E-B019CE6250EC}">
            <x14:dataBar minLength="0" maxLength="100" border="1" negativeBarBorderColorSameAsPositive="0">
              <x14:cfvo type="autoMin"/>
              <x14:cfvo type="autoMax"/>
              <x14:borderColor rgb="FF638EC6"/>
              <x14:negativeFillColor rgb="FFFF0000"/>
              <x14:negativeBorderColor rgb="FFFF0000"/>
              <x14:axisColor rgb="FF000000"/>
            </x14:dataBar>
          </x14:cfRule>
          <xm:sqref>M27:M30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data'!$L$2:$L$6</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6"/>
  <sheetViews>
    <sheetView zoomScale="75" zoomScaleNormal="75" workbookViewId="0"/>
  </sheetViews>
  <sheetFormatPr defaultRowHeight="14.5" x14ac:dyDescent="0.35"/>
  <cols>
    <col min="1" max="1" width="41.1796875" customWidth="1"/>
    <col min="2" max="8" width="19.26953125" customWidth="1"/>
    <col min="9" max="13" width="26.54296875" customWidth="1"/>
  </cols>
  <sheetData>
    <row r="1" spans="1:15" ht="21" x14ac:dyDescent="0.5">
      <c r="A1" s="20" t="s">
        <v>49</v>
      </c>
      <c r="B1" s="20"/>
      <c r="C1" s="20"/>
      <c r="D1" s="20"/>
      <c r="E1" s="20"/>
      <c r="F1" s="20"/>
      <c r="G1" s="20"/>
      <c r="H1" s="22"/>
      <c r="I1" s="22"/>
      <c r="J1" s="22"/>
      <c r="K1" s="21"/>
      <c r="L1" s="21"/>
      <c r="M1" s="21"/>
      <c r="N1" s="21"/>
      <c r="O1" s="21"/>
    </row>
    <row r="2" spans="1:15" ht="15.5" x14ac:dyDescent="0.35">
      <c r="A2" s="36" t="s">
        <v>767</v>
      </c>
      <c r="B2" s="62"/>
      <c r="C2" s="62"/>
      <c r="D2" s="62"/>
      <c r="E2" s="62"/>
      <c r="F2" s="62"/>
      <c r="G2" s="62"/>
      <c r="H2" s="28"/>
      <c r="I2" s="28"/>
      <c r="J2" s="28"/>
      <c r="K2" s="69"/>
      <c r="L2" s="69"/>
      <c r="M2" s="69"/>
      <c r="N2" s="69"/>
      <c r="O2" s="69"/>
    </row>
    <row r="3" spans="1:15" ht="15.5" x14ac:dyDescent="0.35">
      <c r="A3" s="25" t="s">
        <v>773</v>
      </c>
      <c r="B3" s="62"/>
      <c r="C3" s="62"/>
      <c r="D3" s="62"/>
      <c r="E3" s="62"/>
      <c r="F3" s="62"/>
      <c r="G3" s="62"/>
      <c r="H3" s="28"/>
      <c r="I3" s="28"/>
      <c r="J3" s="28"/>
      <c r="K3" s="69"/>
      <c r="L3" s="69"/>
      <c r="M3" s="69"/>
      <c r="N3" s="69"/>
      <c r="O3" s="69"/>
    </row>
    <row r="4" spans="1:15" ht="15.5" x14ac:dyDescent="0.35">
      <c r="A4" s="25" t="s">
        <v>483</v>
      </c>
      <c r="B4" s="62"/>
      <c r="C4" s="62"/>
      <c r="D4" s="62"/>
      <c r="E4" s="62"/>
      <c r="F4" s="62"/>
      <c r="G4" s="62"/>
      <c r="H4" s="28"/>
      <c r="I4" s="28"/>
      <c r="J4" s="28"/>
      <c r="K4" s="26"/>
      <c r="L4" s="26"/>
      <c r="M4" s="26"/>
      <c r="N4" s="26"/>
      <c r="O4" s="26"/>
    </row>
    <row r="5" spans="1:15" ht="31" x14ac:dyDescent="0.35">
      <c r="A5" s="198" t="s">
        <v>750</v>
      </c>
      <c r="B5" s="197" t="s">
        <v>241</v>
      </c>
      <c r="C5" s="60"/>
      <c r="D5" s="26"/>
      <c r="E5" s="26"/>
      <c r="F5" s="26"/>
      <c r="G5" s="26"/>
      <c r="H5" s="26"/>
      <c r="I5" s="26"/>
      <c r="J5" s="26"/>
      <c r="K5" s="26"/>
      <c r="L5" s="26"/>
      <c r="M5" s="26"/>
      <c r="N5" s="26"/>
      <c r="O5" s="26"/>
    </row>
    <row r="6" spans="1:15" ht="77.5" x14ac:dyDescent="0.35">
      <c r="A6" s="67" t="s">
        <v>682</v>
      </c>
      <c r="B6" s="31" t="s">
        <v>667</v>
      </c>
      <c r="C6" s="31" t="s">
        <v>342</v>
      </c>
      <c r="D6" s="31" t="s">
        <v>671</v>
      </c>
      <c r="E6" s="31" t="s">
        <v>672</v>
      </c>
      <c r="F6" s="31" t="s">
        <v>673</v>
      </c>
      <c r="G6" s="31" t="s">
        <v>681</v>
      </c>
      <c r="H6" s="31" t="s">
        <v>757</v>
      </c>
      <c r="I6" s="31" t="s">
        <v>760</v>
      </c>
      <c r="J6" s="68" t="s">
        <v>675</v>
      </c>
      <c r="K6" s="68" t="s">
        <v>676</v>
      </c>
      <c r="L6" s="68" t="s">
        <v>761</v>
      </c>
      <c r="M6" s="68" t="s">
        <v>677</v>
      </c>
      <c r="N6" s="67"/>
      <c r="O6" s="26"/>
    </row>
    <row r="7" spans="1:15" ht="15.5" x14ac:dyDescent="0.35">
      <c r="A7" s="155" t="str">
        <f xml:space="preserve"> "Total " &amp;$B$5</f>
        <v>Total All time</v>
      </c>
      <c r="B7" s="189">
        <f>VLOOKUP($A7, 'Table 8 - Full data'!$A$2:$M$91,2,FALSE)</f>
        <v>276250</v>
      </c>
      <c r="C7" s="114">
        <f>VLOOKUP($A7, 'Table 8 - Full data'!$A$2:$M$91,3,FALSE)</f>
        <v>1</v>
      </c>
      <c r="D7" s="166">
        <f>VLOOKUP($A7, 'Table 8 - Full data'!$A$2:$M$91,4,FALSE)</f>
        <v>92810</v>
      </c>
      <c r="E7" s="166">
        <f>VLOOKUP($A7, 'Table 8 - Full data'!$A$2:$M$91,5,FALSE)</f>
        <v>91340</v>
      </c>
      <c r="F7" s="166">
        <f>VLOOKUP($A7, 'Table 8 - Full data'!$A$2:$M$91,6,FALSE)</f>
        <v>60435</v>
      </c>
      <c r="G7" s="166">
        <f>VLOOKUP($A7, 'Table 8 - Full data'!$A$2:$M$91,7,FALSE)</f>
        <v>139785</v>
      </c>
      <c r="H7" s="166">
        <f>VLOOKUP($A7, 'Table 8 - Full data'!$A$2:$M$91,8,FALSE)</f>
        <v>32700</v>
      </c>
      <c r="I7" s="114">
        <f>VLOOKUP($A7, 'Table 8 - Full data'!$A$2:$M$91,9,FALSE)</f>
        <v>0.34</v>
      </c>
      <c r="J7" s="114">
        <f>VLOOKUP($A7, 'Table 8 - Full data'!$A$2:$M$91,10,FALSE)</f>
        <v>0.33</v>
      </c>
      <c r="K7" s="114">
        <f>VLOOKUP($A7, 'Table 8 - Full data'!$A$2:$M$91,11,FALSE)</f>
        <v>0.22</v>
      </c>
      <c r="L7" s="114">
        <f>VLOOKUP($A7, 'Table 8 - Full data'!$A$2:$M$91,12,FALSE)</f>
        <v>0.51</v>
      </c>
      <c r="M7" s="114">
        <f>VLOOKUP($A7, 'Table 8 - Full data'!$A$2:$M$91,13,FALSE)</f>
        <v>0.12</v>
      </c>
      <c r="N7" s="26"/>
      <c r="O7" s="26"/>
    </row>
    <row r="8" spans="1:15" ht="15.5" x14ac:dyDescent="0.35">
      <c r="A8" s="40" t="str">
        <f xml:space="preserve"> "Ayrshire and Arran " &amp;$B$5</f>
        <v>Ayrshire and Arran All time</v>
      </c>
      <c r="B8" s="136">
        <f>VLOOKUP($A8, 'Table 8 - Full data'!$A$2:$M$91,2,FALSE)</f>
        <v>22425</v>
      </c>
      <c r="C8" s="143">
        <f>VLOOKUP($A8, 'Table 8 - Full data'!$A$2:$M$91,3,FALSE)</f>
        <v>0.08</v>
      </c>
      <c r="D8" s="134">
        <f>VLOOKUP($A8, 'Table 8 - Full data'!$A$2:$M$91,4,FALSE)</f>
        <v>7185</v>
      </c>
      <c r="E8" s="134">
        <f>VLOOKUP($A8, 'Table 8 - Full data'!$A$2:$M$91,5,FALSE)</f>
        <v>7595</v>
      </c>
      <c r="F8" s="134">
        <f>VLOOKUP($A8, 'Table 8 - Full data'!$A$2:$M$91,6,FALSE)</f>
        <v>4930</v>
      </c>
      <c r="G8" s="134">
        <f>VLOOKUP($A8, 'Table 8 - Full data'!$A$2:$M$91,7,FALSE)</f>
        <v>11235</v>
      </c>
      <c r="H8" s="134">
        <f>VLOOKUP($A8, 'Table 8 - Full data'!$A$2:$M$91,8,FALSE)</f>
        <v>2760</v>
      </c>
      <c r="I8" s="143">
        <f>VLOOKUP($A8, 'Table 8 - Full data'!$A$2:$M$91,9,FALSE)</f>
        <v>0.32</v>
      </c>
      <c r="J8" s="143">
        <f>VLOOKUP($A8, 'Table 8 - Full data'!$A$2:$M$91,10,FALSE)</f>
        <v>0.34</v>
      </c>
      <c r="K8" s="143">
        <f>VLOOKUP($A8, 'Table 8 - Full data'!$A$2:$M$91,11,FALSE)</f>
        <v>0.22</v>
      </c>
      <c r="L8" s="143">
        <f>VLOOKUP($A8, 'Table 8 - Full data'!$A$2:$M$91,12,FALSE)</f>
        <v>0.5</v>
      </c>
      <c r="M8" s="143">
        <f>VLOOKUP($A8, 'Table 8 - Full data'!$A$2:$M$91,13,FALSE)</f>
        <v>0.12</v>
      </c>
      <c r="N8" s="26"/>
      <c r="O8" s="26"/>
    </row>
    <row r="9" spans="1:15" ht="15.5" x14ac:dyDescent="0.35">
      <c r="A9" s="40" t="str">
        <f xml:space="preserve"> "Borders " &amp;$B$5</f>
        <v>Borders All time</v>
      </c>
      <c r="B9" s="136">
        <f>VLOOKUP($A9, 'Table 8 - Full data'!$A$2:$M$91,2,FALSE)</f>
        <v>4325</v>
      </c>
      <c r="C9" s="143">
        <f>VLOOKUP($A9, 'Table 8 - Full data'!$A$2:$M$91,3,FALSE)</f>
        <v>0.02</v>
      </c>
      <c r="D9" s="134">
        <f>VLOOKUP($A9, 'Table 8 - Full data'!$A$2:$M$91,4,FALSE)</f>
        <v>1385</v>
      </c>
      <c r="E9" s="134">
        <f>VLOOKUP($A9, 'Table 8 - Full data'!$A$2:$M$91,5,FALSE)</f>
        <v>1475</v>
      </c>
      <c r="F9" s="134">
        <f>VLOOKUP($A9, 'Table 8 - Full data'!$A$2:$M$91,6,FALSE)</f>
        <v>1065</v>
      </c>
      <c r="G9" s="134">
        <f>VLOOKUP($A9, 'Table 8 - Full data'!$A$2:$M$91,7,FALSE)</f>
        <v>2150</v>
      </c>
      <c r="H9" s="134">
        <f>VLOOKUP($A9, 'Table 8 - Full data'!$A$2:$M$91,8,FALSE)</f>
        <v>460</v>
      </c>
      <c r="I9" s="143">
        <f>VLOOKUP($A9, 'Table 8 - Full data'!$A$2:$M$91,9,FALSE)</f>
        <v>0.32</v>
      </c>
      <c r="J9" s="143">
        <f>VLOOKUP($A9, 'Table 8 - Full data'!$A$2:$M$91,10,FALSE)</f>
        <v>0.34</v>
      </c>
      <c r="K9" s="143">
        <f>VLOOKUP($A9, 'Table 8 - Full data'!$A$2:$M$91,11,FALSE)</f>
        <v>0.25</v>
      </c>
      <c r="L9" s="143">
        <f>VLOOKUP($A9, 'Table 8 - Full data'!$A$2:$M$91,12,FALSE)</f>
        <v>0.5</v>
      </c>
      <c r="M9" s="143">
        <f>VLOOKUP($A9, 'Table 8 - Full data'!$A$2:$M$91,13,FALSE)</f>
        <v>0.11</v>
      </c>
      <c r="N9" s="26"/>
      <c r="O9" s="26"/>
    </row>
    <row r="10" spans="1:15" ht="15.5" x14ac:dyDescent="0.35">
      <c r="A10" s="40" t="str">
        <f xml:space="preserve"> "Dumfries and Galloway " &amp;$B$5</f>
        <v>Dumfries and Galloway All time</v>
      </c>
      <c r="B10" s="136">
        <f>VLOOKUP($A10, 'Table 8 - Full data'!$A$2:$M$91,2,FALSE)</f>
        <v>7085</v>
      </c>
      <c r="C10" s="143">
        <f>VLOOKUP($A10, 'Table 8 - Full data'!$A$2:$M$91,3,FALSE)</f>
        <v>0.03</v>
      </c>
      <c r="D10" s="134">
        <f>VLOOKUP($A10, 'Table 8 - Full data'!$A$2:$M$91,4,FALSE)</f>
        <v>2250</v>
      </c>
      <c r="E10" s="134">
        <f>VLOOKUP($A10, 'Table 8 - Full data'!$A$2:$M$91,5,FALSE)</f>
        <v>2590</v>
      </c>
      <c r="F10" s="134">
        <f>VLOOKUP($A10, 'Table 8 - Full data'!$A$2:$M$91,6,FALSE)</f>
        <v>1650</v>
      </c>
      <c r="G10" s="134">
        <f>VLOOKUP($A10, 'Table 8 - Full data'!$A$2:$M$91,7,FALSE)</f>
        <v>3655</v>
      </c>
      <c r="H10" s="134">
        <f>VLOOKUP($A10, 'Table 8 - Full data'!$A$2:$M$91,8,FALSE)</f>
        <v>755</v>
      </c>
      <c r="I10" s="143">
        <f>VLOOKUP($A10, 'Table 8 - Full data'!$A$2:$M$91,9,FALSE)</f>
        <v>0.32</v>
      </c>
      <c r="J10" s="143">
        <f>VLOOKUP($A10, 'Table 8 - Full data'!$A$2:$M$91,10,FALSE)</f>
        <v>0.37</v>
      </c>
      <c r="K10" s="143">
        <f>VLOOKUP($A10, 'Table 8 - Full data'!$A$2:$M$91,11,FALSE)</f>
        <v>0.23</v>
      </c>
      <c r="L10" s="143">
        <f>VLOOKUP($A10, 'Table 8 - Full data'!$A$2:$M$91,12,FALSE)</f>
        <v>0.52</v>
      </c>
      <c r="M10" s="143">
        <f>VLOOKUP($A10, 'Table 8 - Full data'!$A$2:$M$91,13,FALSE)</f>
        <v>0.11</v>
      </c>
      <c r="N10" s="26"/>
      <c r="O10" s="26"/>
    </row>
    <row r="11" spans="1:15" ht="15.5" x14ac:dyDescent="0.35">
      <c r="A11" s="40" t="str">
        <f xml:space="preserve"> "Fife " &amp;$B$5</f>
        <v>Fife All time</v>
      </c>
      <c r="B11" s="136">
        <f>VLOOKUP($A11, 'Table 8 - Full data'!$A$2:$M$91,2,FALSE)</f>
        <v>20045</v>
      </c>
      <c r="C11" s="143">
        <f>VLOOKUP($A11, 'Table 8 - Full data'!$A$2:$M$91,3,FALSE)</f>
        <v>7.0000000000000007E-2</v>
      </c>
      <c r="D11" s="134">
        <f>VLOOKUP($A11, 'Table 8 - Full data'!$A$2:$M$91,4,FALSE)</f>
        <v>6665</v>
      </c>
      <c r="E11" s="134">
        <f>VLOOKUP($A11, 'Table 8 - Full data'!$A$2:$M$91,5,FALSE)</f>
        <v>6990</v>
      </c>
      <c r="F11" s="134">
        <f>VLOOKUP($A11, 'Table 8 - Full data'!$A$2:$M$91,6,FALSE)</f>
        <v>4470</v>
      </c>
      <c r="G11" s="134">
        <f>VLOOKUP($A11, 'Table 8 - Full data'!$A$2:$M$91,7,FALSE)</f>
        <v>10290</v>
      </c>
      <c r="H11" s="134">
        <f>VLOOKUP($A11, 'Table 8 - Full data'!$A$2:$M$91,8,FALSE)</f>
        <v>2110</v>
      </c>
      <c r="I11" s="143">
        <f>VLOOKUP($A11, 'Table 8 - Full data'!$A$2:$M$91,9,FALSE)</f>
        <v>0.33</v>
      </c>
      <c r="J11" s="143">
        <f>VLOOKUP($A11, 'Table 8 - Full data'!$A$2:$M$91,10,FALSE)</f>
        <v>0.35</v>
      </c>
      <c r="K11" s="143">
        <f>VLOOKUP($A11, 'Table 8 - Full data'!$A$2:$M$91,11,FALSE)</f>
        <v>0.22</v>
      </c>
      <c r="L11" s="143">
        <f>VLOOKUP($A11, 'Table 8 - Full data'!$A$2:$M$91,12,FALSE)</f>
        <v>0.51</v>
      </c>
      <c r="M11" s="143">
        <f>VLOOKUP($A11, 'Table 8 - Full data'!$A$2:$M$91,13,FALSE)</f>
        <v>0.11</v>
      </c>
      <c r="N11" s="26"/>
      <c r="O11" s="26"/>
    </row>
    <row r="12" spans="1:15" ht="15.5" x14ac:dyDescent="0.35">
      <c r="A12" s="40" t="str">
        <f xml:space="preserve"> "Forth Valley " &amp;$B$5</f>
        <v>Forth Valley All time</v>
      </c>
      <c r="B12" s="136">
        <f>VLOOKUP($A12, 'Table 8 - Full data'!$A$2:$M$91,2,FALSE)</f>
        <v>13635</v>
      </c>
      <c r="C12" s="143">
        <f>VLOOKUP($A12, 'Table 8 - Full data'!$A$2:$M$91,3,FALSE)</f>
        <v>0.05</v>
      </c>
      <c r="D12" s="134">
        <f>VLOOKUP($A12, 'Table 8 - Full data'!$A$2:$M$91,4,FALSE)</f>
        <v>4455</v>
      </c>
      <c r="E12" s="134">
        <f>VLOOKUP($A12, 'Table 8 - Full data'!$A$2:$M$91,5,FALSE)</f>
        <v>4625</v>
      </c>
      <c r="F12" s="134">
        <f>VLOOKUP($A12, 'Table 8 - Full data'!$A$2:$M$91,6,FALSE)</f>
        <v>3110</v>
      </c>
      <c r="G12" s="134">
        <f>VLOOKUP($A12, 'Table 8 - Full data'!$A$2:$M$91,7,FALSE)</f>
        <v>7100</v>
      </c>
      <c r="H12" s="134">
        <f>VLOOKUP($A12, 'Table 8 - Full data'!$A$2:$M$91,8,FALSE)</f>
        <v>1495</v>
      </c>
      <c r="I12" s="143">
        <f>VLOOKUP($A12, 'Table 8 - Full data'!$A$2:$M$91,9,FALSE)</f>
        <v>0.33</v>
      </c>
      <c r="J12" s="143">
        <f>VLOOKUP($A12, 'Table 8 - Full data'!$A$2:$M$91,10,FALSE)</f>
        <v>0.34</v>
      </c>
      <c r="K12" s="143">
        <f>VLOOKUP($A12, 'Table 8 - Full data'!$A$2:$M$91,11,FALSE)</f>
        <v>0.23</v>
      </c>
      <c r="L12" s="143">
        <f>VLOOKUP($A12, 'Table 8 - Full data'!$A$2:$M$91,12,FALSE)</f>
        <v>0.52</v>
      </c>
      <c r="M12" s="143">
        <f>VLOOKUP($A12, 'Table 8 - Full data'!$A$2:$M$91,13,FALSE)</f>
        <v>0.11</v>
      </c>
      <c r="N12" s="26"/>
      <c r="O12" s="26"/>
    </row>
    <row r="13" spans="1:15" ht="15.5" x14ac:dyDescent="0.35">
      <c r="A13" s="40" t="str">
        <f xml:space="preserve"> "Grampian " &amp;$B$5</f>
        <v>Grampian All time</v>
      </c>
      <c r="B13" s="136">
        <f>VLOOKUP($A13, 'Table 8 - Full data'!$A$2:$M$91,2,FALSE)</f>
        <v>18940</v>
      </c>
      <c r="C13" s="143">
        <f>VLOOKUP($A13, 'Table 8 - Full data'!$A$2:$M$91,3,FALSE)</f>
        <v>7.0000000000000007E-2</v>
      </c>
      <c r="D13" s="134">
        <f>VLOOKUP($A13, 'Table 8 - Full data'!$A$2:$M$91,4,FALSE)</f>
        <v>6415</v>
      </c>
      <c r="E13" s="134">
        <f>VLOOKUP($A13, 'Table 8 - Full data'!$A$2:$M$91,5,FALSE)</f>
        <v>6290</v>
      </c>
      <c r="F13" s="134">
        <f>VLOOKUP($A13, 'Table 8 - Full data'!$A$2:$M$91,6,FALSE)</f>
        <v>4170</v>
      </c>
      <c r="G13" s="134">
        <f>VLOOKUP($A13, 'Table 8 - Full data'!$A$2:$M$91,7,FALSE)</f>
        <v>9975</v>
      </c>
      <c r="H13" s="134">
        <f>VLOOKUP($A13, 'Table 8 - Full data'!$A$2:$M$91,8,FALSE)</f>
        <v>2065</v>
      </c>
      <c r="I13" s="143">
        <f>VLOOKUP($A13, 'Table 8 - Full data'!$A$2:$M$91,9,FALSE)</f>
        <v>0.34</v>
      </c>
      <c r="J13" s="143">
        <f>VLOOKUP($A13, 'Table 8 - Full data'!$A$2:$M$91,10,FALSE)</f>
        <v>0.33</v>
      </c>
      <c r="K13" s="143">
        <f>VLOOKUP($A13, 'Table 8 - Full data'!$A$2:$M$91,11,FALSE)</f>
        <v>0.22</v>
      </c>
      <c r="L13" s="143">
        <f>VLOOKUP($A13, 'Table 8 - Full data'!$A$2:$M$91,12,FALSE)</f>
        <v>0.53</v>
      </c>
      <c r="M13" s="143">
        <f>VLOOKUP($A13, 'Table 8 - Full data'!$A$2:$M$91,13,FALSE)</f>
        <v>0.11</v>
      </c>
      <c r="N13" s="26"/>
      <c r="O13" s="26"/>
    </row>
    <row r="14" spans="1:15" ht="15.5" x14ac:dyDescent="0.35">
      <c r="A14" s="40" t="str">
        <f xml:space="preserve"> "Greater Glasgow and Clyde " &amp;$B$5</f>
        <v>Greater Glasgow and Clyde All time</v>
      </c>
      <c r="B14" s="136">
        <f>VLOOKUP($A14, 'Table 8 - Full data'!$A$2:$M$91,2,FALSE)</f>
        <v>71190</v>
      </c>
      <c r="C14" s="143">
        <f>VLOOKUP($A14, 'Table 8 - Full data'!$A$2:$M$91,3,FALSE)</f>
        <v>0.26</v>
      </c>
      <c r="D14" s="134">
        <f>VLOOKUP($A14, 'Table 8 - Full data'!$A$2:$M$91,4,FALSE)</f>
        <v>22265</v>
      </c>
      <c r="E14" s="134">
        <f>VLOOKUP($A14, 'Table 8 - Full data'!$A$2:$M$91,5,FALSE)</f>
        <v>23295</v>
      </c>
      <c r="F14" s="134">
        <f>VLOOKUP($A14, 'Table 8 - Full data'!$A$2:$M$91,6,FALSE)</f>
        <v>15645</v>
      </c>
      <c r="G14" s="134">
        <f>VLOOKUP($A14, 'Table 8 - Full data'!$A$2:$M$91,7,FALSE)</f>
        <v>35260</v>
      </c>
      <c r="H14" s="134">
        <f>VLOOKUP($A14, 'Table 8 - Full data'!$A$2:$M$91,8,FALSE)</f>
        <v>9645</v>
      </c>
      <c r="I14" s="143">
        <f>VLOOKUP($A14, 'Table 8 - Full data'!$A$2:$M$91,9,FALSE)</f>
        <v>0.31</v>
      </c>
      <c r="J14" s="143">
        <f>VLOOKUP($A14, 'Table 8 - Full data'!$A$2:$M$91,10,FALSE)</f>
        <v>0.33</v>
      </c>
      <c r="K14" s="143">
        <f>VLOOKUP($A14, 'Table 8 - Full data'!$A$2:$M$91,11,FALSE)</f>
        <v>0.22</v>
      </c>
      <c r="L14" s="143">
        <f>VLOOKUP($A14, 'Table 8 - Full data'!$A$2:$M$91,12,FALSE)</f>
        <v>0.5</v>
      </c>
      <c r="M14" s="143">
        <f>VLOOKUP($A14, 'Table 8 - Full data'!$A$2:$M$91,13,FALSE)</f>
        <v>0.14000000000000001</v>
      </c>
      <c r="N14" s="26"/>
      <c r="O14" s="26"/>
    </row>
    <row r="15" spans="1:15" ht="15.5" x14ac:dyDescent="0.35">
      <c r="A15" s="40" t="str">
        <f xml:space="preserve"> "Highland " &amp;$B$5</f>
        <v>Highland All time</v>
      </c>
      <c r="B15" s="136">
        <f>VLOOKUP($A15, 'Table 8 - Full data'!$A$2:$M$91,2,FALSE)</f>
        <v>12015</v>
      </c>
      <c r="C15" s="143">
        <f>VLOOKUP($A15, 'Table 8 - Full data'!$A$2:$M$91,3,FALSE)</f>
        <v>0.04</v>
      </c>
      <c r="D15" s="134">
        <f>VLOOKUP($A15, 'Table 8 - Full data'!$A$2:$M$91,4,FALSE)</f>
        <v>4070</v>
      </c>
      <c r="E15" s="134">
        <f>VLOOKUP($A15, 'Table 8 - Full data'!$A$2:$M$91,5,FALSE)</f>
        <v>4155</v>
      </c>
      <c r="F15" s="134">
        <f>VLOOKUP($A15, 'Table 8 - Full data'!$A$2:$M$91,6,FALSE)</f>
        <v>2770</v>
      </c>
      <c r="G15" s="134">
        <f>VLOOKUP($A15, 'Table 8 - Full data'!$A$2:$M$91,7,FALSE)</f>
        <v>6060</v>
      </c>
      <c r="H15" s="134">
        <f>VLOOKUP($A15, 'Table 8 - Full data'!$A$2:$M$91,8,FALSE)</f>
        <v>1315</v>
      </c>
      <c r="I15" s="143">
        <f>VLOOKUP($A15, 'Table 8 - Full data'!$A$2:$M$91,9,FALSE)</f>
        <v>0.34</v>
      </c>
      <c r="J15" s="143">
        <f>VLOOKUP($A15, 'Table 8 - Full data'!$A$2:$M$91,10,FALSE)</f>
        <v>0.35</v>
      </c>
      <c r="K15" s="143">
        <f>VLOOKUP($A15, 'Table 8 - Full data'!$A$2:$M$91,11,FALSE)</f>
        <v>0.23</v>
      </c>
      <c r="L15" s="143">
        <f>VLOOKUP($A15, 'Table 8 - Full data'!$A$2:$M$91,12,FALSE)</f>
        <v>0.5</v>
      </c>
      <c r="M15" s="143">
        <f>VLOOKUP($A15, 'Table 8 - Full data'!$A$2:$M$91,13,FALSE)</f>
        <v>0.11</v>
      </c>
      <c r="N15" s="26"/>
      <c r="O15" s="26"/>
    </row>
    <row r="16" spans="1:15" ht="15.5" x14ac:dyDescent="0.35">
      <c r="A16" s="40" t="str">
        <f xml:space="preserve"> "Lanarkshire " &amp;$B$5</f>
        <v>Lanarkshire All time</v>
      </c>
      <c r="B16" s="136">
        <f>VLOOKUP($A16, 'Table 8 - Full data'!$A$2:$M$91,2,FALSE)</f>
        <v>37590</v>
      </c>
      <c r="C16" s="143">
        <f>VLOOKUP($A16, 'Table 8 - Full data'!$A$2:$M$91,3,FALSE)</f>
        <v>0.14000000000000001</v>
      </c>
      <c r="D16" s="134">
        <f>VLOOKUP($A16, 'Table 8 - Full data'!$A$2:$M$91,4,FALSE)</f>
        <v>12425</v>
      </c>
      <c r="E16" s="134">
        <f>VLOOKUP($A16, 'Table 8 - Full data'!$A$2:$M$91,5,FALSE)</f>
        <v>12485</v>
      </c>
      <c r="F16" s="134">
        <f>VLOOKUP($A16, 'Table 8 - Full data'!$A$2:$M$91,6,FALSE)</f>
        <v>8240</v>
      </c>
      <c r="G16" s="134">
        <f>VLOOKUP($A16, 'Table 8 - Full data'!$A$2:$M$91,7,FALSE)</f>
        <v>18870</v>
      </c>
      <c r="H16" s="134">
        <f>VLOOKUP($A16, 'Table 8 - Full data'!$A$2:$M$91,8,FALSE)</f>
        <v>4595</v>
      </c>
      <c r="I16" s="143">
        <f>VLOOKUP($A16, 'Table 8 - Full data'!$A$2:$M$91,9,FALSE)</f>
        <v>0.33</v>
      </c>
      <c r="J16" s="143">
        <f>VLOOKUP($A16, 'Table 8 - Full data'!$A$2:$M$91,10,FALSE)</f>
        <v>0.33</v>
      </c>
      <c r="K16" s="143">
        <f>VLOOKUP($A16, 'Table 8 - Full data'!$A$2:$M$91,11,FALSE)</f>
        <v>0.22</v>
      </c>
      <c r="L16" s="143">
        <f>VLOOKUP($A16, 'Table 8 - Full data'!$A$2:$M$91,12,FALSE)</f>
        <v>0.5</v>
      </c>
      <c r="M16" s="143">
        <f>VLOOKUP($A16, 'Table 8 - Full data'!$A$2:$M$91,13,FALSE)</f>
        <v>0.12</v>
      </c>
      <c r="N16" s="26"/>
      <c r="O16" s="26"/>
    </row>
    <row r="17" spans="1:27" ht="15.5" x14ac:dyDescent="0.35">
      <c r="A17" s="40" t="str">
        <f xml:space="preserve"> "Lothian " &amp;$B$5</f>
        <v>Lothian All time</v>
      </c>
      <c r="B17" s="136">
        <f>VLOOKUP($A17, 'Table 8 - Full data'!$A$2:$M$91,2,FALSE)</f>
        <v>36625</v>
      </c>
      <c r="C17" s="143">
        <f>VLOOKUP($A17, 'Table 8 - Full data'!$A$2:$M$91,3,FALSE)</f>
        <v>0.13</v>
      </c>
      <c r="D17" s="134">
        <f>VLOOKUP($A17, 'Table 8 - Full data'!$A$2:$M$91,4,FALSE)</f>
        <v>11590</v>
      </c>
      <c r="E17" s="134">
        <f>VLOOKUP($A17, 'Table 8 - Full data'!$A$2:$M$91,5,FALSE)</f>
        <v>12305</v>
      </c>
      <c r="F17" s="134">
        <f>VLOOKUP($A17, 'Table 8 - Full data'!$A$2:$M$91,6,FALSE)</f>
        <v>8575</v>
      </c>
      <c r="G17" s="134">
        <f>VLOOKUP($A17, 'Table 8 - Full data'!$A$2:$M$91,7,FALSE)</f>
        <v>18540</v>
      </c>
      <c r="H17" s="134">
        <f>VLOOKUP($A17, 'Table 8 - Full data'!$A$2:$M$91,8,FALSE)</f>
        <v>4300</v>
      </c>
      <c r="I17" s="143">
        <f>VLOOKUP($A17, 'Table 8 - Full data'!$A$2:$M$91,9,FALSE)</f>
        <v>0.32</v>
      </c>
      <c r="J17" s="143">
        <f>VLOOKUP($A17, 'Table 8 - Full data'!$A$2:$M$91,10,FALSE)</f>
        <v>0.34</v>
      </c>
      <c r="K17" s="143">
        <f>VLOOKUP($A17, 'Table 8 - Full data'!$A$2:$M$91,11,FALSE)</f>
        <v>0.23</v>
      </c>
      <c r="L17" s="143">
        <f>VLOOKUP($A17, 'Table 8 - Full data'!$A$2:$M$91,12,FALSE)</f>
        <v>0.51</v>
      </c>
      <c r="M17" s="143">
        <f>VLOOKUP($A17, 'Table 8 - Full data'!$A$2:$M$91,13,FALSE)</f>
        <v>0.12</v>
      </c>
      <c r="N17" s="26"/>
      <c r="O17" s="26"/>
    </row>
    <row r="18" spans="1:27" ht="15.5" x14ac:dyDescent="0.35">
      <c r="A18" s="40" t="str">
        <f xml:space="preserve"> "Orkney " &amp;$B$5</f>
        <v>Orkney All time</v>
      </c>
      <c r="B18" s="136">
        <f>VLOOKUP($A18, 'Table 8 - Full data'!$A$2:$M$91,2,FALSE)</f>
        <v>575</v>
      </c>
      <c r="C18" s="143">
        <f>VLOOKUP($A18, 'Table 8 - Full data'!$A$2:$M$91,3,FALSE)</f>
        <v>0</v>
      </c>
      <c r="D18" s="134">
        <f>VLOOKUP($A18, 'Table 8 - Full data'!$A$2:$M$91,4,FALSE)</f>
        <v>205</v>
      </c>
      <c r="E18" s="134">
        <f>VLOOKUP($A18, 'Table 8 - Full data'!$A$2:$M$91,5,FALSE)</f>
        <v>190</v>
      </c>
      <c r="F18" s="134">
        <f>VLOOKUP($A18, 'Table 8 - Full data'!$A$2:$M$91,6,FALSE)</f>
        <v>150</v>
      </c>
      <c r="G18" s="134">
        <f>VLOOKUP($A18, 'Table 8 - Full data'!$A$2:$M$91,7,FALSE)</f>
        <v>295</v>
      </c>
      <c r="H18" s="134">
        <f>VLOOKUP($A18, 'Table 8 - Full data'!$A$2:$M$91,8,FALSE)</f>
        <v>45</v>
      </c>
      <c r="I18" s="143">
        <f>VLOOKUP($A18, 'Table 8 - Full data'!$A$2:$M$91,9,FALSE)</f>
        <v>0.36</v>
      </c>
      <c r="J18" s="143">
        <f>VLOOKUP($A18, 'Table 8 - Full data'!$A$2:$M$91,10,FALSE)</f>
        <v>0.33</v>
      </c>
      <c r="K18" s="143">
        <f>VLOOKUP($A18, 'Table 8 - Full data'!$A$2:$M$91,11,FALSE)</f>
        <v>0.27</v>
      </c>
      <c r="L18" s="143">
        <f>VLOOKUP($A18, 'Table 8 - Full data'!$A$2:$M$91,12,FALSE)</f>
        <v>0.51</v>
      </c>
      <c r="M18" s="143">
        <f>VLOOKUP($A18, 'Table 8 - Full data'!$A$2:$M$91,13,FALSE)</f>
        <v>0.08</v>
      </c>
      <c r="N18" s="26"/>
      <c r="O18" s="26"/>
    </row>
    <row r="19" spans="1:27" ht="15.5" x14ac:dyDescent="0.35">
      <c r="A19" s="40" t="str">
        <f xml:space="preserve"> "Shetland " &amp;$B$5</f>
        <v>Shetland All time</v>
      </c>
      <c r="B19" s="136">
        <f>VLOOKUP($A19, 'Table 8 - Full data'!$A$2:$M$91,2,FALSE)</f>
        <v>530</v>
      </c>
      <c r="C19" s="143">
        <f>VLOOKUP($A19, 'Table 8 - Full data'!$A$2:$M$91,3,FALSE)</f>
        <v>0</v>
      </c>
      <c r="D19" s="134">
        <f>VLOOKUP($A19, 'Table 8 - Full data'!$A$2:$M$91,4,FALSE)</f>
        <v>170</v>
      </c>
      <c r="E19" s="134">
        <f>VLOOKUP($A19, 'Table 8 - Full data'!$A$2:$M$91,5,FALSE)</f>
        <v>205</v>
      </c>
      <c r="F19" s="134">
        <f>VLOOKUP($A19, 'Table 8 - Full data'!$A$2:$M$91,6,FALSE)</f>
        <v>130</v>
      </c>
      <c r="G19" s="134">
        <f>VLOOKUP($A19, 'Table 8 - Full data'!$A$2:$M$91,7,FALSE)</f>
        <v>275</v>
      </c>
      <c r="H19" s="134">
        <f>VLOOKUP($A19, 'Table 8 - Full data'!$A$2:$M$91,8,FALSE)</f>
        <v>45</v>
      </c>
      <c r="I19" s="143">
        <f>VLOOKUP($A19, 'Table 8 - Full data'!$A$2:$M$91,9,FALSE)</f>
        <v>0.32</v>
      </c>
      <c r="J19" s="143">
        <f>VLOOKUP($A19, 'Table 8 - Full data'!$A$2:$M$91,10,FALSE)</f>
        <v>0.39</v>
      </c>
      <c r="K19" s="143">
        <f>VLOOKUP($A19, 'Table 8 - Full data'!$A$2:$M$91,11,FALSE)</f>
        <v>0.24</v>
      </c>
      <c r="L19" s="143">
        <f>VLOOKUP($A19, 'Table 8 - Full data'!$A$2:$M$91,12,FALSE)</f>
        <v>0.52</v>
      </c>
      <c r="M19" s="143">
        <f>VLOOKUP($A19, 'Table 8 - Full data'!$A$2:$M$91,13,FALSE)</f>
        <v>0.09</v>
      </c>
      <c r="N19" s="26"/>
      <c r="O19" s="26"/>
    </row>
    <row r="20" spans="1:27" ht="15.5" x14ac:dyDescent="0.35">
      <c r="A20" s="40" t="str">
        <f xml:space="preserve"> "Tayside " &amp;$B$5</f>
        <v>Tayside All time</v>
      </c>
      <c r="B20" s="136">
        <f>VLOOKUP($A20, 'Table 8 - Full data'!$A$2:$M$91,2,FALSE)</f>
        <v>19705</v>
      </c>
      <c r="C20" s="143">
        <f>VLOOKUP($A20, 'Table 8 - Full data'!$A$2:$M$91,3,FALSE)</f>
        <v>7.0000000000000007E-2</v>
      </c>
      <c r="D20" s="134">
        <f>VLOOKUP($A20, 'Table 8 - Full data'!$A$2:$M$91,4,FALSE)</f>
        <v>6440</v>
      </c>
      <c r="E20" s="134">
        <f>VLOOKUP($A20, 'Table 8 - Full data'!$A$2:$M$91,5,FALSE)</f>
        <v>6705</v>
      </c>
      <c r="F20" s="134">
        <f>VLOOKUP($A20, 'Table 8 - Full data'!$A$2:$M$91,6,FALSE)</f>
        <v>4585</v>
      </c>
      <c r="G20" s="134">
        <f>VLOOKUP($A20, 'Table 8 - Full data'!$A$2:$M$91,7,FALSE)</f>
        <v>10090</v>
      </c>
      <c r="H20" s="134">
        <f>VLOOKUP($A20, 'Table 8 - Full data'!$A$2:$M$91,8,FALSE)</f>
        <v>2155</v>
      </c>
      <c r="I20" s="143">
        <f>VLOOKUP($A20, 'Table 8 - Full data'!$A$2:$M$91,9,FALSE)</f>
        <v>0.33</v>
      </c>
      <c r="J20" s="143">
        <f>VLOOKUP($A20, 'Table 8 - Full data'!$A$2:$M$91,10,FALSE)</f>
        <v>0.34</v>
      </c>
      <c r="K20" s="143">
        <f>VLOOKUP($A20, 'Table 8 - Full data'!$A$2:$M$91,11,FALSE)</f>
        <v>0.23</v>
      </c>
      <c r="L20" s="143">
        <f>VLOOKUP($A20, 'Table 8 - Full data'!$A$2:$M$91,12,FALSE)</f>
        <v>0.51</v>
      </c>
      <c r="M20" s="143">
        <f>VLOOKUP($A20, 'Table 8 - Full data'!$A$2:$M$91,13,FALSE)</f>
        <v>0.11</v>
      </c>
      <c r="N20" s="26"/>
      <c r="O20" s="26"/>
    </row>
    <row r="21" spans="1:27" s="4" customFormat="1" ht="15.5" x14ac:dyDescent="0.35">
      <c r="A21" s="40" t="str">
        <f xml:space="preserve"> "Western Isles " &amp;$B$5</f>
        <v>Western Isles All time</v>
      </c>
      <c r="B21" s="136">
        <f>VLOOKUP($A21, 'Table 8 - Full data'!$A$2:$M$91,2,FALSE)</f>
        <v>810</v>
      </c>
      <c r="C21" s="143">
        <f>VLOOKUP($A21, 'Table 8 - Full data'!$A$2:$M$91,3,FALSE)</f>
        <v>0</v>
      </c>
      <c r="D21" s="134">
        <f>VLOOKUP($A21, 'Table 8 - Full data'!$A$2:$M$91,4,FALSE)</f>
        <v>300</v>
      </c>
      <c r="E21" s="134">
        <f>VLOOKUP($A21, 'Table 8 - Full data'!$A$2:$M$91,5,FALSE)</f>
        <v>285</v>
      </c>
      <c r="F21" s="134">
        <f>VLOOKUP($A21, 'Table 8 - Full data'!$A$2:$M$91,6,FALSE)</f>
        <v>175</v>
      </c>
      <c r="G21" s="134">
        <f>VLOOKUP($A21, 'Table 8 - Full data'!$A$2:$M$91,7,FALSE)</f>
        <v>420</v>
      </c>
      <c r="H21" s="134">
        <f>VLOOKUP($A21, 'Table 8 - Full data'!$A$2:$M$91,8,FALSE)</f>
        <v>90</v>
      </c>
      <c r="I21" s="143">
        <f>VLOOKUP($A21, 'Table 8 - Full data'!$A$2:$M$91,9,FALSE)</f>
        <v>0.37</v>
      </c>
      <c r="J21" s="143">
        <f>VLOOKUP($A21, 'Table 8 - Full data'!$A$2:$M$91,10,FALSE)</f>
        <v>0.35</v>
      </c>
      <c r="K21" s="143">
        <f>VLOOKUP($A21, 'Table 8 - Full data'!$A$2:$M$91,11,FALSE)</f>
        <v>0.22</v>
      </c>
      <c r="L21" s="143">
        <f>VLOOKUP($A21, 'Table 8 - Full data'!$A$2:$M$91,12,FALSE)</f>
        <v>0.52</v>
      </c>
      <c r="M21" s="143">
        <f>VLOOKUP($A21, 'Table 8 - Full data'!$A$2:$M$91,13,FALSE)</f>
        <v>0.11</v>
      </c>
      <c r="N21" s="36"/>
      <c r="O21" s="36"/>
    </row>
    <row r="22" spans="1:27" ht="15.5" x14ac:dyDescent="0.35">
      <c r="A22" s="40" t="str">
        <f xml:space="preserve"> "Unknown - Scottish address " &amp;$B$5</f>
        <v>Unknown - Scottish address All time</v>
      </c>
      <c r="B22" s="136">
        <f>VLOOKUP($A22, 'Table 8 - Full data'!$A$2:$M$91,2,FALSE)</f>
        <v>295</v>
      </c>
      <c r="C22" s="143">
        <f>VLOOKUP($A22, 'Table 8 - Full data'!$A$2:$M$91,3,FALSE)</f>
        <v>0</v>
      </c>
      <c r="D22" s="134">
        <f>VLOOKUP($A22, 'Table 8 - Full data'!$A$2:$M$91,4,FALSE)</f>
        <v>120</v>
      </c>
      <c r="E22" s="134">
        <f>VLOOKUP($A22, 'Table 8 - Full data'!$A$2:$M$91,5,FALSE)</f>
        <v>105</v>
      </c>
      <c r="F22" s="134">
        <f>VLOOKUP($A22, 'Table 8 - Full data'!$A$2:$M$91,6,FALSE)</f>
        <v>45</v>
      </c>
      <c r="G22" s="134">
        <f>VLOOKUP($A22, 'Table 8 - Full data'!$A$2:$M$91,7,FALSE)</f>
        <v>190</v>
      </c>
      <c r="H22" s="134">
        <f>VLOOKUP($A22, 'Table 8 - Full data'!$A$2:$M$91,8,FALSE)</f>
        <v>30</v>
      </c>
      <c r="I22" s="143">
        <f>VLOOKUP($A22, 'Table 8 - Full data'!$A$2:$M$91,9,FALSE)</f>
        <v>0.41</v>
      </c>
      <c r="J22" s="143">
        <f>VLOOKUP($A22, 'Table 8 - Full data'!$A$2:$M$91,10,FALSE)</f>
        <v>0.36</v>
      </c>
      <c r="K22" s="143">
        <f>VLOOKUP($A22, 'Table 8 - Full data'!$A$2:$M$91,11,FALSE)</f>
        <v>0.15</v>
      </c>
      <c r="L22" s="143">
        <f>VLOOKUP($A22, 'Table 8 - Full data'!$A$2:$M$91,12,FALSE)</f>
        <v>0.65</v>
      </c>
      <c r="M22" s="143">
        <f>VLOOKUP($A22, 'Table 8 - Full data'!$A$2:$M$91,13,FALSE)</f>
        <v>0.09</v>
      </c>
      <c r="N22" s="26"/>
      <c r="O22" s="26"/>
    </row>
    <row r="23" spans="1:27" s="4" customFormat="1" ht="15.5" x14ac:dyDescent="0.35">
      <c r="A23" s="40" t="str">
        <f xml:space="preserve"> "Non-Scottish postcode " &amp;$B$5</f>
        <v>Non-Scottish postcode All time</v>
      </c>
      <c r="B23" s="136">
        <f>VLOOKUP($A23, 'Table 8 - Full data'!$A$2:$M$91,2,FALSE)</f>
        <v>10025</v>
      </c>
      <c r="C23" s="143">
        <f>VLOOKUP($A23, 'Table 8 - Full data'!$A$2:$M$91,3,FALSE)</f>
        <v>0.04</v>
      </c>
      <c r="D23" s="134">
        <f>VLOOKUP($A23, 'Table 8 - Full data'!$A$2:$M$91,4,FALSE)</f>
        <v>6705</v>
      </c>
      <c r="E23" s="134">
        <f>VLOOKUP($A23, 'Table 8 - Full data'!$A$2:$M$91,5,FALSE)</f>
        <v>1925</v>
      </c>
      <c r="F23" s="134">
        <f>VLOOKUP($A23, 'Table 8 - Full data'!$A$2:$M$91,6,FALSE)</f>
        <v>670</v>
      </c>
      <c r="G23" s="134">
        <f>VLOOKUP($A23, 'Table 8 - Full data'!$A$2:$M$91,7,FALSE)</f>
        <v>5155</v>
      </c>
      <c r="H23" s="134">
        <f>VLOOKUP($A23, 'Table 8 - Full data'!$A$2:$M$91,8,FALSE)</f>
        <v>740</v>
      </c>
      <c r="I23" s="143">
        <f>VLOOKUP($A23, 'Table 8 - Full data'!$A$2:$M$91,9,FALSE)</f>
        <v>0.67</v>
      </c>
      <c r="J23" s="143">
        <f>VLOOKUP($A23, 'Table 8 - Full data'!$A$2:$M$91,10,FALSE)</f>
        <v>0.19</v>
      </c>
      <c r="K23" s="143">
        <f>VLOOKUP($A23, 'Table 8 - Full data'!$A$2:$M$91,11,FALSE)</f>
        <v>7.0000000000000007E-2</v>
      </c>
      <c r="L23" s="143">
        <f>VLOOKUP($A23, 'Table 8 - Full data'!$A$2:$M$91,12,FALSE)</f>
        <v>0.51</v>
      </c>
      <c r="M23" s="143">
        <f>VLOOKUP($A23, 'Table 8 - Full data'!$A$2:$M$91,13,FALSE)</f>
        <v>7.0000000000000007E-2</v>
      </c>
      <c r="N23" s="36"/>
      <c r="O23" s="36"/>
    </row>
    <row r="24" spans="1:27" ht="15.5" x14ac:dyDescent="0.35">
      <c r="A24" s="40" t="str">
        <f xml:space="preserve"> "No address " &amp;$B$5</f>
        <v>No address All time</v>
      </c>
      <c r="B24" s="136">
        <f>VLOOKUP($A24, 'Table 8 - Full data'!$A$2:$M$91,2,FALSE)</f>
        <v>440</v>
      </c>
      <c r="C24" s="143">
        <f>VLOOKUP($A24, 'Table 8 - Full data'!$A$2:$M$91,3,FALSE)</f>
        <v>0</v>
      </c>
      <c r="D24" s="134">
        <f>VLOOKUP($A24, 'Table 8 - Full data'!$A$2:$M$91,4,FALSE)</f>
        <v>165</v>
      </c>
      <c r="E24" s="134">
        <f>VLOOKUP($A24, 'Table 8 - Full data'!$A$2:$M$91,5,FALSE)</f>
        <v>115</v>
      </c>
      <c r="F24" s="134">
        <f>VLOOKUP($A24, 'Table 8 - Full data'!$A$2:$M$91,6,FALSE)</f>
        <v>55</v>
      </c>
      <c r="G24" s="134">
        <f>VLOOKUP($A24, 'Table 8 - Full data'!$A$2:$M$91,7,FALSE)</f>
        <v>225</v>
      </c>
      <c r="H24" s="134">
        <f>VLOOKUP($A24, 'Table 8 - Full data'!$A$2:$M$91,8,FALSE)</f>
        <v>90</v>
      </c>
      <c r="I24" s="143">
        <f>VLOOKUP($A24, 'Table 8 - Full data'!$A$2:$M$91,9,FALSE)</f>
        <v>0.38</v>
      </c>
      <c r="J24" s="143">
        <f>VLOOKUP($A24, 'Table 8 - Full data'!$A$2:$M$91,10,FALSE)</f>
        <v>0.26</v>
      </c>
      <c r="K24" s="143">
        <f>VLOOKUP($A24, 'Table 8 - Full data'!$A$2:$M$91,11,FALSE)</f>
        <v>0.13</v>
      </c>
      <c r="L24" s="143">
        <f>VLOOKUP($A24, 'Table 8 - Full data'!$A$2:$M$91,12,FALSE)</f>
        <v>0.51</v>
      </c>
      <c r="M24" s="143">
        <f>VLOOKUP($A24, 'Table 8 - Full data'!$A$2:$M$91,13,FALSE)</f>
        <v>0.2</v>
      </c>
      <c r="N24" s="26"/>
      <c r="O24" s="26"/>
    </row>
    <row r="25" spans="1:27" s="76" customFormat="1" ht="15.5" x14ac:dyDescent="0.35">
      <c r="A25" s="63" t="s">
        <v>9</v>
      </c>
      <c r="B25" s="36"/>
      <c r="C25" s="36"/>
      <c r="D25" s="36"/>
      <c r="E25" s="36"/>
      <c r="F25" s="36"/>
      <c r="G25" s="36"/>
      <c r="H25" s="36"/>
      <c r="I25" s="36"/>
      <c r="J25" s="36"/>
      <c r="K25" s="36"/>
      <c r="L25" s="36"/>
      <c r="M25" s="36"/>
      <c r="N25" s="179"/>
      <c r="O25" s="179"/>
      <c r="P25" s="179"/>
      <c r="Q25" s="179"/>
      <c r="R25" s="179"/>
      <c r="S25" s="179"/>
      <c r="T25" s="179"/>
      <c r="U25" s="179"/>
      <c r="V25" s="179"/>
      <c r="W25" s="179"/>
      <c r="X25" s="179"/>
      <c r="Y25" s="179"/>
      <c r="Z25" s="179"/>
      <c r="AA25" s="179"/>
    </row>
    <row r="26" spans="1:27" s="21" customFormat="1" ht="15.5" x14ac:dyDescent="0.35">
      <c r="A26" s="63" t="s">
        <v>79</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7" s="21" customFormat="1" ht="15.5" x14ac:dyDescent="0.35">
      <c r="A27" s="44" t="s">
        <v>633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s="21" customFormat="1" ht="15.5" x14ac:dyDescent="0.35">
      <c r="A28" s="44" t="s">
        <v>634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s="76" customFormat="1" ht="15.5" x14ac:dyDescent="0.35">
      <c r="A29" s="45" t="s">
        <v>649</v>
      </c>
      <c r="B29" s="36"/>
      <c r="C29" s="36"/>
      <c r="D29" s="36"/>
      <c r="E29" s="36"/>
      <c r="F29" s="36"/>
      <c r="G29" s="36"/>
      <c r="H29" s="36"/>
      <c r="I29" s="36"/>
      <c r="J29" s="36"/>
      <c r="K29" s="36"/>
      <c r="L29" s="36"/>
      <c r="M29" s="36"/>
      <c r="N29" s="179"/>
      <c r="O29" s="179"/>
      <c r="P29" s="179"/>
      <c r="Q29" s="179"/>
      <c r="R29" s="179"/>
      <c r="S29" s="179"/>
      <c r="T29" s="179"/>
      <c r="U29" s="179"/>
      <c r="V29" s="179"/>
      <c r="W29" s="179"/>
      <c r="X29" s="179"/>
      <c r="Y29" s="179"/>
      <c r="Z29" s="179"/>
      <c r="AA29" s="179"/>
    </row>
    <row r="30" spans="1:27" s="76" customFormat="1" ht="15.5" x14ac:dyDescent="0.35">
      <c r="A30" s="45" t="s">
        <v>635</v>
      </c>
      <c r="B30" s="36"/>
      <c r="C30" s="36"/>
      <c r="D30" s="36"/>
      <c r="E30" s="36"/>
      <c r="F30" s="36"/>
      <c r="G30" s="36"/>
      <c r="H30" s="36"/>
      <c r="I30" s="36"/>
      <c r="J30" s="36"/>
      <c r="K30" s="36"/>
      <c r="L30" s="36"/>
      <c r="M30" s="36"/>
      <c r="N30" s="179"/>
      <c r="O30" s="179"/>
      <c r="P30" s="179"/>
      <c r="Q30" s="179"/>
      <c r="R30" s="179"/>
      <c r="S30" s="179"/>
      <c r="T30" s="179"/>
      <c r="U30" s="179"/>
      <c r="V30" s="179"/>
      <c r="W30" s="179"/>
      <c r="X30" s="179"/>
      <c r="Y30" s="179"/>
      <c r="Z30" s="179"/>
      <c r="AA30" s="179"/>
    </row>
    <row r="31" spans="1:27" s="21" customFormat="1" ht="144.65" customHeight="1" x14ac:dyDescent="0.35">
      <c r="A31" s="27" t="s">
        <v>683</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s="21" customFormat="1" ht="139.5" x14ac:dyDescent="0.35">
      <c r="A32" s="27" t="s">
        <v>685</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15" ht="15.5" x14ac:dyDescent="0.35">
      <c r="A33" s="36" t="s">
        <v>684</v>
      </c>
      <c r="B33" s="26"/>
      <c r="C33" s="26"/>
      <c r="D33" s="26"/>
      <c r="E33" s="26"/>
      <c r="F33" s="26"/>
      <c r="G33" s="26"/>
      <c r="H33" s="26"/>
      <c r="I33" s="26"/>
      <c r="J33" s="26"/>
      <c r="K33" s="26"/>
      <c r="L33" s="26"/>
      <c r="M33" s="26"/>
      <c r="N33" s="26"/>
      <c r="O33" s="26"/>
    </row>
    <row r="34" spans="1:15" ht="15.5" x14ac:dyDescent="0.35">
      <c r="A34" s="36" t="s">
        <v>661</v>
      </c>
      <c r="B34" s="26"/>
      <c r="C34" s="26"/>
      <c r="D34" s="26"/>
      <c r="E34" s="26"/>
      <c r="F34" s="26"/>
      <c r="G34" s="26"/>
      <c r="H34" s="26"/>
      <c r="I34" s="26"/>
      <c r="J34" s="26"/>
      <c r="K34" s="26"/>
      <c r="L34" s="26"/>
      <c r="M34" s="26"/>
      <c r="N34" s="26"/>
      <c r="O34" s="26"/>
    </row>
    <row r="35" spans="1:15" ht="15.5" x14ac:dyDescent="0.35">
      <c r="A35" s="45" t="s">
        <v>686</v>
      </c>
      <c r="B35" s="26"/>
      <c r="C35" s="26"/>
      <c r="D35" s="26"/>
      <c r="E35" s="26"/>
      <c r="F35" s="26"/>
      <c r="G35" s="26"/>
      <c r="H35" s="26"/>
      <c r="I35" s="26"/>
      <c r="J35" s="26"/>
      <c r="K35" s="26"/>
      <c r="L35" s="26"/>
      <c r="M35" s="26"/>
      <c r="N35" s="26"/>
      <c r="O35" s="26"/>
    </row>
    <row r="36" spans="1:15" ht="15.5" x14ac:dyDescent="0.35">
      <c r="A36" s="44" t="s">
        <v>678</v>
      </c>
      <c r="B36" s="26"/>
      <c r="C36" s="26"/>
      <c r="D36" s="26"/>
      <c r="E36" s="26"/>
      <c r="F36" s="26"/>
      <c r="G36" s="26"/>
      <c r="H36" s="26"/>
      <c r="I36" s="26"/>
      <c r="J36" s="26"/>
      <c r="K36" s="26"/>
      <c r="L36" s="26"/>
      <c r="M36" s="26"/>
      <c r="N36" s="26"/>
      <c r="O36" s="26"/>
    </row>
    <row r="37" spans="1:15" ht="15.5" x14ac:dyDescent="0.35">
      <c r="A37" s="44" t="s">
        <v>679</v>
      </c>
      <c r="B37" s="26"/>
      <c r="C37" s="26"/>
      <c r="D37" s="26"/>
      <c r="E37" s="26"/>
      <c r="F37" s="26"/>
      <c r="G37" s="26"/>
      <c r="H37" s="26"/>
      <c r="I37" s="26"/>
      <c r="J37" s="26"/>
      <c r="K37" s="26"/>
      <c r="L37" s="26"/>
      <c r="M37" s="26"/>
      <c r="N37" s="26"/>
      <c r="O37" s="26"/>
    </row>
    <row r="38" spans="1:15" ht="15.5" x14ac:dyDescent="0.35">
      <c r="A38" s="44" t="s">
        <v>680</v>
      </c>
      <c r="B38" s="26"/>
      <c r="C38" s="26"/>
      <c r="D38" s="26"/>
      <c r="E38" s="26"/>
      <c r="F38" s="26"/>
      <c r="G38" s="26"/>
      <c r="H38" s="26"/>
      <c r="I38" s="26"/>
      <c r="J38" s="26"/>
      <c r="K38" s="26"/>
      <c r="L38" s="26"/>
      <c r="M38" s="26"/>
      <c r="N38" s="26"/>
      <c r="O38" s="26"/>
    </row>
    <row r="39" spans="1:15" ht="15.5" x14ac:dyDescent="0.35">
      <c r="A39" s="45" t="s">
        <v>8</v>
      </c>
      <c r="N39" s="55"/>
      <c r="O39" s="55"/>
    </row>
    <row r="40" spans="1:15" ht="15.5" x14ac:dyDescent="0.35">
      <c r="N40" s="55"/>
      <c r="O40" s="55"/>
    </row>
    <row r="41" spans="1:15" ht="15.5" x14ac:dyDescent="0.35">
      <c r="N41" s="55"/>
      <c r="O41" s="55"/>
    </row>
    <row r="42" spans="1:15" ht="15.5" x14ac:dyDescent="0.35">
      <c r="N42" s="55"/>
      <c r="O42" s="55"/>
    </row>
    <row r="43" spans="1:15" ht="15.5" x14ac:dyDescent="0.35">
      <c r="N43" s="55"/>
      <c r="O43" s="55"/>
    </row>
    <row r="44" spans="1:15" ht="15.5" x14ac:dyDescent="0.35">
      <c r="N44" s="26"/>
      <c r="O44" s="26"/>
    </row>
    <row r="45" spans="1:15" ht="15.5" x14ac:dyDescent="0.35">
      <c r="N45" s="26"/>
      <c r="O45" s="26"/>
    </row>
    <row r="46" spans="1:15" ht="15.5" x14ac:dyDescent="0.35">
      <c r="N46" s="26"/>
      <c r="O46" s="26"/>
    </row>
    <row r="47" spans="1:15" ht="15.5" x14ac:dyDescent="0.35">
      <c r="N47" s="55"/>
      <c r="O47" s="55"/>
    </row>
    <row r="48" spans="1:15" ht="15.5" x14ac:dyDescent="0.35">
      <c r="N48" s="55"/>
      <c r="O48" s="55"/>
    </row>
    <row r="49" spans="14:15" ht="15.5" x14ac:dyDescent="0.35">
      <c r="N49" s="55"/>
      <c r="O49" s="55"/>
    </row>
    <row r="50" spans="14:15" ht="15.5" x14ac:dyDescent="0.35">
      <c r="N50" s="26"/>
      <c r="O50" s="26"/>
    </row>
    <row r="51" spans="14:15" ht="15.5" x14ac:dyDescent="0.35">
      <c r="N51" s="26"/>
      <c r="O51" s="26"/>
    </row>
    <row r="52" spans="14:15" ht="15.5" x14ac:dyDescent="0.35">
      <c r="N52" s="26"/>
      <c r="O52" s="26"/>
    </row>
    <row r="53" spans="14:15" ht="15.5" x14ac:dyDescent="0.35">
      <c r="N53" s="26"/>
      <c r="O53" s="26"/>
    </row>
    <row r="54" spans="14:15" ht="15.5" x14ac:dyDescent="0.35">
      <c r="N54" s="26"/>
      <c r="O54" s="26"/>
    </row>
    <row r="55" spans="14:15" ht="15.5" x14ac:dyDescent="0.35">
      <c r="N55" s="26"/>
      <c r="O55" s="26"/>
    </row>
    <row r="56" spans="14:15" ht="15.5" x14ac:dyDescent="0.35">
      <c r="N56" s="26"/>
      <c r="O56" s="26"/>
    </row>
  </sheetData>
  <conditionalFormatting sqref="C7:C20 C22 I7:M20">
    <cfRule type="dataBar" priority="8">
      <dataBar>
        <cfvo type="num" val="0"/>
        <cfvo type="num" val="1"/>
        <color rgb="FFB4A9D4"/>
      </dataBar>
      <extLst>
        <ext xmlns:x14="http://schemas.microsoft.com/office/spreadsheetml/2009/9/main" uri="{B025F937-C7B1-47D3-B67F-A62EFF666E3E}">
          <x14:id>{2801F0EB-B3FB-40E9-8BE4-8F2EC4B0BF13}</x14:id>
        </ext>
      </extLst>
    </cfRule>
  </conditionalFormatting>
  <conditionalFormatting sqref="I22:M22">
    <cfRule type="dataBar" priority="7">
      <dataBar>
        <cfvo type="num" val="0"/>
        <cfvo type="num" val="1"/>
        <color rgb="FFB4A9D4"/>
      </dataBar>
      <extLst>
        <ext xmlns:x14="http://schemas.microsoft.com/office/spreadsheetml/2009/9/main" uri="{B025F937-C7B1-47D3-B67F-A62EFF666E3E}">
          <x14:id>{245F4028-8FE2-4A4C-BA7B-7EA03784D786}</x14:id>
        </ext>
      </extLst>
    </cfRule>
  </conditionalFormatting>
  <conditionalFormatting sqref="C21">
    <cfRule type="dataBar" priority="6">
      <dataBar>
        <cfvo type="num" val="0"/>
        <cfvo type="num" val="1"/>
        <color rgb="FFB4A9D4"/>
      </dataBar>
      <extLst>
        <ext xmlns:x14="http://schemas.microsoft.com/office/spreadsheetml/2009/9/main" uri="{B025F937-C7B1-47D3-B67F-A62EFF666E3E}">
          <x14:id>{CEC7311F-14D5-48A7-879D-7AE2FBDE2B65}</x14:id>
        </ext>
      </extLst>
    </cfRule>
  </conditionalFormatting>
  <conditionalFormatting sqref="I21:M21">
    <cfRule type="dataBar" priority="5">
      <dataBar>
        <cfvo type="num" val="0"/>
        <cfvo type="num" val="1"/>
        <color rgb="FFB4A9D4"/>
      </dataBar>
      <extLst>
        <ext xmlns:x14="http://schemas.microsoft.com/office/spreadsheetml/2009/9/main" uri="{B025F937-C7B1-47D3-B67F-A62EFF666E3E}">
          <x14:id>{EC4012AE-6B9D-43BD-AE80-FC96B991C1FC}</x14:id>
        </ext>
      </extLst>
    </cfRule>
  </conditionalFormatting>
  <conditionalFormatting sqref="C23">
    <cfRule type="dataBar" priority="4">
      <dataBar>
        <cfvo type="num" val="0"/>
        <cfvo type="num" val="1"/>
        <color rgb="FFB4A9D4"/>
      </dataBar>
      <extLst>
        <ext xmlns:x14="http://schemas.microsoft.com/office/spreadsheetml/2009/9/main" uri="{B025F937-C7B1-47D3-B67F-A62EFF666E3E}">
          <x14:id>{445A2177-6B6A-4A0D-A13D-036084EF24D9}</x14:id>
        </ext>
      </extLst>
    </cfRule>
  </conditionalFormatting>
  <conditionalFormatting sqref="I23:M23">
    <cfRule type="dataBar" priority="3">
      <dataBar>
        <cfvo type="num" val="0"/>
        <cfvo type="num" val="1"/>
        <color rgb="FFB4A9D4"/>
      </dataBar>
      <extLst>
        <ext xmlns:x14="http://schemas.microsoft.com/office/spreadsheetml/2009/9/main" uri="{B025F937-C7B1-47D3-B67F-A62EFF666E3E}">
          <x14:id>{D51A0370-BEBD-40DC-AADB-CCE441D523BF}</x14:id>
        </ext>
      </extLst>
    </cfRule>
  </conditionalFormatting>
  <conditionalFormatting sqref="C24">
    <cfRule type="dataBar" priority="2">
      <dataBar>
        <cfvo type="num" val="0"/>
        <cfvo type="num" val="1"/>
        <color rgb="FFB4A9D4"/>
      </dataBar>
      <extLst>
        <ext xmlns:x14="http://schemas.microsoft.com/office/spreadsheetml/2009/9/main" uri="{B025F937-C7B1-47D3-B67F-A62EFF666E3E}">
          <x14:id>{D6A3C7E7-746C-4C32-8CED-04D4D34AB081}</x14:id>
        </ext>
      </extLst>
    </cfRule>
  </conditionalFormatting>
  <conditionalFormatting sqref="I24:M24">
    <cfRule type="dataBar" priority="1">
      <dataBar>
        <cfvo type="num" val="0"/>
        <cfvo type="num" val="1"/>
        <color rgb="FFB4A9D4"/>
      </dataBar>
      <extLst>
        <ext xmlns:x14="http://schemas.microsoft.com/office/spreadsheetml/2009/9/main" uri="{B025F937-C7B1-47D3-B67F-A62EFF666E3E}">
          <x14:id>{504F424E-D7E8-45E0-AD29-EA129B7BBE92}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801F0EB-B3FB-40E9-8BE4-8F2EC4B0BF13}">
            <x14:dataBar minLength="0" maxLength="100" gradient="0">
              <x14:cfvo type="num">
                <xm:f>0</xm:f>
              </x14:cfvo>
              <x14:cfvo type="num">
                <xm:f>1</xm:f>
              </x14:cfvo>
              <x14:negativeFillColor rgb="FFFF0000"/>
              <x14:axisColor rgb="FF000000"/>
            </x14:dataBar>
          </x14:cfRule>
          <xm:sqref>C7:C20 C22 I7:M20</xm:sqref>
        </x14:conditionalFormatting>
        <x14:conditionalFormatting xmlns:xm="http://schemas.microsoft.com/office/excel/2006/main">
          <x14:cfRule type="dataBar" id="{245F4028-8FE2-4A4C-BA7B-7EA03784D786}">
            <x14:dataBar minLength="0" maxLength="100" gradient="0">
              <x14:cfvo type="num">
                <xm:f>0</xm:f>
              </x14:cfvo>
              <x14:cfvo type="num">
                <xm:f>1</xm:f>
              </x14:cfvo>
              <x14:negativeFillColor rgb="FFFF0000"/>
              <x14:axisColor rgb="FF000000"/>
            </x14:dataBar>
          </x14:cfRule>
          <xm:sqref>I22:M22</xm:sqref>
        </x14:conditionalFormatting>
        <x14:conditionalFormatting xmlns:xm="http://schemas.microsoft.com/office/excel/2006/main">
          <x14:cfRule type="dataBar" id="{CEC7311F-14D5-48A7-879D-7AE2FBDE2B65}">
            <x14:dataBar minLength="0" maxLength="100" gradient="0">
              <x14:cfvo type="num">
                <xm:f>0</xm:f>
              </x14:cfvo>
              <x14:cfvo type="num">
                <xm:f>1</xm:f>
              </x14:cfvo>
              <x14:negativeFillColor rgb="FFFF0000"/>
              <x14:axisColor rgb="FF000000"/>
            </x14:dataBar>
          </x14:cfRule>
          <xm:sqref>C21</xm:sqref>
        </x14:conditionalFormatting>
        <x14:conditionalFormatting xmlns:xm="http://schemas.microsoft.com/office/excel/2006/main">
          <x14:cfRule type="dataBar" id="{EC4012AE-6B9D-43BD-AE80-FC96B991C1FC}">
            <x14:dataBar minLength="0" maxLength="100" gradient="0">
              <x14:cfvo type="num">
                <xm:f>0</xm:f>
              </x14:cfvo>
              <x14:cfvo type="num">
                <xm:f>1</xm:f>
              </x14:cfvo>
              <x14:negativeFillColor rgb="FFFF0000"/>
              <x14:axisColor rgb="FF000000"/>
            </x14:dataBar>
          </x14:cfRule>
          <xm:sqref>I21:M21</xm:sqref>
        </x14:conditionalFormatting>
        <x14:conditionalFormatting xmlns:xm="http://schemas.microsoft.com/office/excel/2006/main">
          <x14:cfRule type="dataBar" id="{445A2177-6B6A-4A0D-A13D-036084EF24D9}">
            <x14:dataBar minLength="0" maxLength="100" gradient="0">
              <x14:cfvo type="num">
                <xm:f>0</xm:f>
              </x14:cfvo>
              <x14:cfvo type="num">
                <xm:f>1</xm:f>
              </x14:cfvo>
              <x14:negativeFillColor rgb="FFFF0000"/>
              <x14:axisColor rgb="FF000000"/>
            </x14:dataBar>
          </x14:cfRule>
          <xm:sqref>C23</xm:sqref>
        </x14:conditionalFormatting>
        <x14:conditionalFormatting xmlns:xm="http://schemas.microsoft.com/office/excel/2006/main">
          <x14:cfRule type="dataBar" id="{D51A0370-BEBD-40DC-AADB-CCE441D523BF}">
            <x14:dataBar minLength="0" maxLength="100" gradient="0">
              <x14:cfvo type="num">
                <xm:f>0</xm:f>
              </x14:cfvo>
              <x14:cfvo type="num">
                <xm:f>1</xm:f>
              </x14:cfvo>
              <x14:negativeFillColor rgb="FFFF0000"/>
              <x14:axisColor rgb="FF000000"/>
            </x14:dataBar>
          </x14:cfRule>
          <xm:sqref>I23:M23</xm:sqref>
        </x14:conditionalFormatting>
        <x14:conditionalFormatting xmlns:xm="http://schemas.microsoft.com/office/excel/2006/main">
          <x14:cfRule type="dataBar" id="{D6A3C7E7-746C-4C32-8CED-04D4D34AB081}">
            <x14:dataBar minLength="0" maxLength="100" gradient="0">
              <x14:cfvo type="num">
                <xm:f>0</xm:f>
              </x14:cfvo>
              <x14:cfvo type="num">
                <xm:f>1</xm:f>
              </x14:cfvo>
              <x14:negativeFillColor rgb="FFFF0000"/>
              <x14:axisColor rgb="FF000000"/>
            </x14:dataBar>
          </x14:cfRule>
          <xm:sqref>C24</xm:sqref>
        </x14:conditionalFormatting>
        <x14:conditionalFormatting xmlns:xm="http://schemas.microsoft.com/office/excel/2006/main">
          <x14:cfRule type="dataBar" id="{504F424E-D7E8-45E0-AD29-EA129B7BBE92}">
            <x14:dataBar minLength="0" maxLength="100" gradient="0">
              <x14:cfvo type="num">
                <xm:f>0</xm:f>
              </x14:cfvo>
              <x14:cfvo type="num">
                <xm:f>1</xm:f>
              </x14:cfvo>
              <x14:negativeFillColor rgb="FFFF0000"/>
              <x14:axisColor rgb="FF000000"/>
            </x14:dataBar>
          </x14:cfRule>
          <xm:sqref>I24:M24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8 - Full data'!$O$2:$O$6</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g F A A B Q S w M E F A A C A A g A i o b u 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I q G 7 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h u 5 S Y p d k x Q 4 C A A B E G A A A E w A c A E Z v c m 1 1 b G F z L 1 N l Y 3 R p b 2 4 x L m 0 g o h g A K K A U A A A A A A A A A A A A A A A A A A A A A A A A A A A A 7 V Z N a + M w E L 0 H 8 h + E S 8 E B U y o n 3 d 1 S c g j p L k u h H 2 y y 7 C H k o L j T x k S W j C R 3 G 0 L + e 2 U 7 z Z e s 1 r 7 u K h e H N 2 9 m P N Y 8 P 0 u I V M w Z G p V X f N V u t V t y T g Q 8 o j G Z U Q h 7 F 6 i P K K h 2 C + n f i G c i A o 1 8 f 4 2 A n g 0 z I Y C p P 1 w s Z p w v / M 5 q c k c S 6 H v v u d 5 0 P R l y p j R p G p Q l T r z h n L D n v M E y B U / X K s h n Y 0 G Y f O I i G X K a J S w P S r / s F 6 x W 3 i B N a R y R 4 m 7 z A g y o F y C l W U j B q 1 o H 6 I A j 0 S + I I H 7 R b W K G B q m I t 3 T C l h + z b 8 m y N v c m Y 9 C A T O t X H m T P m V S 1 6 S N I F S Q z E L U z 7 i P F m / D v + E u z B t f 6 f 6 O E G 8 I y I u o / o h 8 w E 4 0 S b o m I 5 s f s M V f E W I 5 T x J 9 Q E U E H 1 f Z 5 6 0 6 7 F b P K r d 7 X 0 c l W D c g P O 5 6 T k 5 O T k 1 O l n L Y r f Q 0 J V 7 r H T y C P I O R u q 8 v A B v a P d r 9 T K Q n 8 i S b M b r k + S g Y 2 N F H i o Q X v W v C e B b + w 4 F 8 s + F c L / s 2 C X 1 p w f G 4 L 2 C b G t p G x b W Z s G x o f T r 1 3 7 M X 5 p F y + f 3 w c n V w e 8 Y 8 P d 5 f 9 I L h l a z a R 3 d o Y j Q I 0 2 Z A G l I 4 i Q o m Q f S U y m F Y v V f j p U h l 3 U / e t W 6 m f e 0 Z j 8 8 3 4 Q F I Q a M J 0 H 4 S n R n T O G W y j x T U 0 S L / Z g v G / b E P r G v F T Z L a 2 + 1 5 o N b 6 u M z 5 n f M 7 4 n P E 5 4 3 P G 9 z 8 Z X 8 8 Z n z M + Z 3 z O + J z x O e P 7 J 4 3 v D V B L A Q I t A B Q A A g A I A I q G 7 l J 1 v z V X q A A A A P g A A A A S A A A A A A A A A A A A A A A A A A A A A A B D b 2 5 m a W c v U G F j a 2 F n Z S 5 4 b W x Q S w E C L Q A U A A I A C A C K h u 5 S D 8 r p q 6 Q A A A D p A A A A E w A A A A A A A A A A A A A A A A D 0 A A A A W 0 N v b n R l b n R f V H l w Z X N d L n h t b F B L A Q I t A B Q A A g A I A I q G 7 l J i l 2 T F D g I A A E Q Y A A A T A A A A A A A A A A A A A A A A A O U B A A B G b 3 J t d W x h c y 9 T Z W N 0 a W 9 u M S 5 t U E s F B g A A A A A D A A M A w g A A A E A 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A 9 A A A A A A A A / j 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j Q 1 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L 1 N 0 Y W J s Z U V u d H J p Z X M + P C 9 J d G V t P j x J d G V t P j x J d G V t T G 9 j Y X R p b 2 4 + P E l 0 Z W 1 U e X B l P k Z v c m 1 1 b G E 8 L 0 l 0 Z W 1 U e X B l P j x J d G V t U G F 0 a D 5 T Z W N 0 a W 9 u M S 9 U Y W J s Z T I 0 N S U y M C g y K S 9 T b 3 V y Y 2 U 8 L 0 l 0 Z W 1 Q Y X R o P j w v S X R l b U x v Y 2 F 0 a W 9 u P j x T d G F i b G V F b n R y a W V z I C 8 + P C 9 J d G V t P j x J d G V t P j x J d G V t T G 9 j Y X R p b 2 4 + P E l 0 Z W 1 U e X B l P k Z v c m 1 1 b G E 8 L 0 l 0 Z W 1 U e X B l P j x J d G V t U G F 0 a D 5 T Z W N 0 a W 9 u M S 9 U Y W J s Z T I 0 N S U y M C g y K S 9 D a G F u Z 2 V k J T I w V H l w Z T w v S X R l b V B h d G g + P C 9 J d G V t T G 9 j Y X R p b 2 4 + P F N 0 Y W J s Z U V u d H J p Z X M g L z 4 8 L 0 l 0 Z W 0 + P E l 0 Z W 0 + P E l 0 Z W 1 M b 2 N h d G l v b j 4 8 S X R l b V R 5 c G U + R m 9 y b X V s Y T w v S X R l b V R 5 c G U + P E l 0 Z W 1 Q Y X R o P l N l Y 3 R p b 2 4 x L 1 R h Y m x l M j Q 1 J T I w K D I p L 0 R l b W 9 0 Z W Q l M j B I Z W F k Z X J z P C 9 J d G V t U G F 0 a D 4 8 L 0 l 0 Z W 1 M b 2 N h d G l v b j 4 8 U 3 R h Y m x l R W 5 0 c m l l c y A v P j w v S X R l b T 4 8 S X R l b T 4 8 S X R l b U x v Y 2 F 0 a W 9 u P j x J d G V t V H l w Z T 5 G b 3 J t d W x h P C 9 J d G V t V H l w Z T 4 8 S X R l b V B h d G g + U 2 V j d G l v b j E v V G F i b G U y N D U l M j A o M i k v Q 2 h h b m d l Z C U y M F R 5 c G U x P C 9 J d G V t U G F 0 a D 4 8 L 0 l 0 Z W 1 M b 2 N h d G l v b j 4 8 U 3 R h Y m x l R W 5 0 c m l l c y A v P j w v S X R l b T 4 8 S X R l b T 4 8 S X R l b U x v Y 2 F 0 a W 9 u P j x J d G V t V H l w Z T 5 G b 3 J t d W x h P C 9 J d G V t V H l w Z T 4 8 S X R l b V B h d G g + U 2 V j d G l v b j E v V G F i b G U y N D U l M j A o M i k v V H J h b n N w b 3 N l Z C U y M F R h Y m x l P C 9 J d G V t U G F 0 a D 4 8 L 0 l 0 Z W 1 M b 2 N h d G l v b j 4 8 U 3 R h Y m x l R W 5 0 c m l l c y A v P j w v S X R l b T 4 8 S X R l b T 4 8 S X R l b U x v Y 2 F 0 a W 9 u P j x J d G V t V H l w Z T 5 G b 3 J t d W x h P C 9 J d G V t V H l w Z T 4 8 S X R l b V B h d G g + U 2 V j d G l v b j E v V G F i b G U y N D U l M j A o M i k v U H J v b W 9 0 Z W Q l M j B I Z W F k Z X J z P C 9 J d G V t U G F 0 a D 4 8 L 0 l 0 Z W 1 M b 2 N h d G l v b j 4 8 U 3 R h Y m x l R W 5 0 c m l l c y A v P j w v S X R l b T 4 8 S X R l b T 4 8 S X R l b U x v Y 2 F 0 a W 9 u P j x J d G V t V H l w Z T 5 G b 3 J t d W x h P C 9 J d G V t V H l w Z T 4 8 S X R l b V B h d G g + U 2 V j d G l v b j E v V G F i b G U y N D U l M j A o M i k v Q 2 h h b m d l Z C U y M F R 5 c G U y P C 9 J d G V t U G F 0 a D 4 8 L 0 l 0 Z W 1 M b 2 N h d G l v b j 4 8 U 3 R h Y m x l R W 5 0 c m l l c y A v P j w v S X R l b T 4 8 S X R l b T 4 8 S X R l b U x v Y 2 F 0 a W 9 u P j x J d G V t V H l w Z T 5 G b 3 J t d W x h P C 9 J d G V t V H l w Z T 4 8 S X R l b V B h d G g + U 2 V j d G l v b j E v V G F i b G U y N D U l M j A o M y 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Z p b G x F b m F i b G V k I i B W Y W x 1 Z T 0 i b D E i I C 8 + P E V u d H J 5 I F R 5 c G U 9 I k Z p b G x P Y m p l Y 3 R U e X B l I i B W Y W x 1 Z T 0 i c 1 R h Y m x l I i A v P j x F b n R y e S B U e X B l P S J G a W x s V G 9 E Y X R h T W 9 k Z W x F b m F i b G V k I i B W Y W x 1 Z T 0 i b D A i I C 8 + P E V u d H J 5 I F R 5 c G U 9 I k Z p b G x U Y X J n Z X Q i I F Z h b H V l P S J z V G F i b G U y N D V f X z I 4 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B Z G R l Z F R v R G F 0 Y U 1 v Z G V s I i B W Y W x 1 Z T 0 i b D A 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L 1 N 0 Y W J s Z U V u d H J p Z X M + P C 9 J d G V t P j x J d G V t P j x J d G V t T G 9 j Y X R p b 2 4 + P E l 0 Z W 1 U e X B l P k Z v c m 1 1 b G E 8 L 0 l 0 Z W 1 U e X B l P j x J d G V t U G F 0 a D 5 T Z W N 0 a W 9 u M S 9 U Y W J s Z T I 0 N S U y M C g z K S 9 T b 3 V y Y 2 U 8 L 0 l 0 Z W 1 Q Y X R o P j w v S X R l b U x v Y 2 F 0 a W 9 u P j x T d G F i b G V F b n R y a W V z I C 8 + P C 9 J d G V t P j x J d G V t P j x J d G V t T G 9 j Y X R p b 2 4 + P E l 0 Z W 1 U e X B l P k Z v c m 1 1 b G E 8 L 0 l 0 Z W 1 U e X B l P j x J d G V t U G F 0 a D 5 T Z W N 0 a W 9 u M S 9 U Y W J s Z T I 0 N S U y M C g z K S 9 D a G F u Z 2 V k J T I w V H l w Z T w v S X R l b V B h d G g + P C 9 J d G V t T G 9 j Y X R p b 2 4 + P F N 0 Y W J s Z U V u d H J p Z X M g L z 4 8 L 0 l 0 Z W 0 + P E l 0 Z W 0 + P E l 0 Z W 1 M b 2 N h d G l v b j 4 8 S X R l b V R 5 c G U + R m 9 y b X V s Y T w v S X R l b V R 5 c G U + P E l 0 Z W 1 Q Y X R o P l N l Y 3 R p b 2 4 x L 1 R h Y m x l M j Q 1 J T I w K D M p L 0 R l b W 9 0 Z W Q l M j B I Z W F k Z X J z P C 9 J d G V t U G F 0 a D 4 8 L 0 l 0 Z W 1 M b 2 N h d G l v b j 4 8 U 3 R h Y m x l R W 5 0 c m l l c y A v P j w v S X R l b T 4 8 S X R l b T 4 8 S X R l b U x v Y 2 F 0 a W 9 u P j x J d G V t V H l w Z T 5 G b 3 J t d W x h P C 9 J d G V t V H l w Z T 4 8 S X R l b V B h d G g + U 2 V j d G l v b j E v V G F i b G U y N D U l M j A o M y k v Q 2 h h b m d l Z C U y M F R 5 c G U x P C 9 J d G V t U G F 0 a D 4 8 L 0 l 0 Z W 1 M b 2 N h d G l v b j 4 8 U 3 R h Y m x l R W 5 0 c m l l c y A v P j w v S X R l b T 4 8 S X R l b T 4 8 S X R l b U x v Y 2 F 0 a W 9 u P j x J d G V t V H l w Z T 5 G b 3 J t d W x h P C 9 J d G V t V H l w Z T 4 8 S X R l b V B h d G g + U 2 V j d G l v b j E v V G F i b G U y N D U l M j A o M y k v V H J h b n N w b 3 N l Z C U y M F R h Y m x l P C 9 J d G V t U G F 0 a D 4 8 L 0 l 0 Z W 1 M b 2 N h d G l v b j 4 8 U 3 R h Y m x l R W 5 0 c m l l c y A v P j w v S X R l b T 4 8 S X R l b T 4 8 S X R l b U x v Y 2 F 0 a W 9 u P j x J d G V t V H l w Z T 5 G b 3 J t d W x h P C 9 J d G V t V H l w Z T 4 8 S X R l b V B h d G g + U 2 V j d G l v b j E v V G F i b G U y N D U l M j A o M y k v U H J v b W 9 0 Z W Q l M j B I Z W F k Z X J z P C 9 J d G V t U G F 0 a D 4 8 L 0 l 0 Z W 1 M b 2 N h d G l v b j 4 8 U 3 R h Y m x l R W 5 0 c m l l c y A v P j w v S X R l b T 4 8 S X R l b T 4 8 S X R l b U x v Y 2 F 0 a W 9 u P j x J d G V t V H l w Z T 5 G b 3 J t d W x h P C 9 J d G V t V H l w Z T 4 8 S X R l b V B h d G g + U 2 V j d G l v b j E v V G F i b G U y N D U l M j A o M y k v Q 2 h h b m d l Z C U y M F R 5 c G U y P C 9 J d G V t U G F 0 a D 4 8 L 0 l 0 Z W 1 M b 2 N h d G l v b j 4 8 U 3 R h Y m x l R W 5 0 c m l l c y A v P j w v S X R l b T 4 8 S X R l b T 4 8 S X R l b U x v Y 2 F 0 a W 9 u P j x J d G V t V H l w Z T 5 G b 3 J t d W x h P C 9 J d G V t V H l w Z T 4 8 S X R l b V B h d G g + U 2 V j d G l v b j E v V G F i b G U y N D U l M j A o N C k 8 L 0 l 0 Z W 1 Q Y X R o P j w v S X R l b U x v Y 2 F 0 a W 9 u P j x T d G F i b G V F b n R y a W V z P j x F b n R y e S B U e X B l P S J J c 1 B y a X Z h d G U i I F Z h b H V l P S J s M C I g L z 4 8 R W 5 0 c n k g V H l w Z T 0 i T m F 2 a W d h d G l v b l N 0 Z X B O Y W 1 l I i B W Y W x 1 Z T 0 i c 0 5 h d m l n Y X R p b 2 4 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V G F i b G U y N D V f X z I 4 M T I 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F c n J v c k N v Z G U i I F Z h b H V l P S J z V W 5 r b m 9 3 b i 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k Z p b G x F c n J v c k N v d W 5 0 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1 R h Y m x l M j Q 1 J T I w K D Q p L 1 N v d X J j Z T w v S X R l b V B h d G g + P C 9 J d G V t T G 9 j Y X R p b 2 4 + P F N 0 Y W J s Z U V u d H J p Z X M g L z 4 8 L 0 l 0 Z W 0 + P E l 0 Z W 0 + P E l 0 Z W 1 M b 2 N h d G l v b j 4 8 S X R l b V R 5 c G U + R m 9 y b X V s Y T w v S X R l b V R 5 c G U + P E l 0 Z W 1 Q Y X R o P l N l Y 3 R p b 2 4 x L 1 R h Y m x l M j Q 1 J T I w K D Q p L 0 N o Y W 5 n Z W Q l M j B U e X B l P C 9 J d G V t U G F 0 a D 4 8 L 0 l 0 Z W 1 M b 2 N h d G l v b j 4 8 U 3 R h Y m x l R W 5 0 c m l l c y A v P j w v S X R l b T 4 8 S X R l b T 4 8 S X R l b U x v Y 2 F 0 a W 9 u P j x J d G V t V H l w Z T 5 G b 3 J t d W x h P C 9 J d G V t V H l w Z T 4 8 S X R l b V B h d G g + U 2 V j d G l v b j E v V G F i b G U y N D U l M j A o N C k v R G V t b 3 R l Z C U y M E h l Y W R l c n M 8 L 0 l 0 Z W 1 Q Y X R o P j w v S X R l b U x v Y 2 F 0 a W 9 u P j x T d G F i b G V F b n R y a W V z I C 8 + P C 9 J d G V t P j x J d G V t P j x J d G V t T G 9 j Y X R p b 2 4 + P E l 0 Z W 1 U e X B l P k Z v c m 1 1 b G E 8 L 0 l 0 Z W 1 U e X B l P j x J d G V t U G F 0 a D 5 T Z W N 0 a W 9 u M S 9 U Y W J s Z T I 0 N S U y M C g 0 K S 9 D a G F u Z 2 V k J T I w V H l w Z T E 8 L 0 l 0 Z W 1 Q Y X R o P j w v S X R l b U x v Y 2 F 0 a W 9 u P j x T d G F i b G V F b n R y a W V z I C 8 + P C 9 J d G V t P j x J d G V t P j x J d G V t T G 9 j Y X R p b 2 4 + P E l 0 Z W 1 U e X B l P k Z v c m 1 1 b G E 8 L 0 l 0 Z W 1 U e X B l P j x J d G V t U G F 0 a D 5 T Z W N 0 a W 9 u M S 9 U Y W J s Z T I 0 N S U y M C g 0 K S 9 U c m F u c 3 B v c 2 V k J T I w V G F i b G U 8 L 0 l 0 Z W 1 Q Y X R o P j w v S X R l b U x v Y 2 F 0 a W 9 u P j x T d G F i b G V F b n R y a W V z I C 8 + P C 9 J d G V t P j x J d G V t P j x J d G V t T G 9 j Y X R p b 2 4 + P E l 0 Z W 1 U e X B l P k Z v c m 1 1 b G E 8 L 0 l 0 Z W 1 U e X B l P j x J d G V t U G F 0 a D 5 T Z W N 0 a W 9 u M S 9 U Y W J s Z T I 0 N S U y M C g 0 K S 9 Q c m 9 t b 3 R l Z C U y M E h l Y W R l c n M 8 L 0 l 0 Z W 1 Q Y X R o P j w v S X R l b U x v Y 2 F 0 a W 9 u P j x T d G F i b G V F b n R y a W V z I C 8 + P C 9 J d G V t P j x J d G V t P j x J d G V t T G 9 j Y X R p b 2 4 + P E l 0 Z W 1 U e X B l P k Z v c m 1 1 b G E 8 L 0 l 0 Z W 1 U e X B l P j x J d G V t U G F 0 a D 5 T Z W N 0 a W 9 u M S 9 U Y W J s Z T I 0 N S U y M C g 0 K S 9 D a G F u Z 2 V k J T I w V H l w Z T I 8 L 0 l 0 Z W 1 Q Y X R o P j w v S X R l b U x v Y 2 F 0 a W 9 u P j x T d G F i b G V F b n R y a W V z I C 8 + P C 9 J d G V t P j w v S X R l b X M + P C 9 M b 2 N h b F B h Y 2 t h Z 2 V N Z X R h Z G F 0 Y U Z p b G U + F g A A A F B L B Q Y A A A A A A A A A A A A A A A A A A A A A A A D a A A A A A Q A A A N C M n d 8 B F d E R j H o A w E / C l + s B A A A A Z 5 j L R B u / n U K o O p g x F N Y A I Q A A A A A C A A A A A A A D Z g A A w A A A A B A A A A A 2 W 9 R O K g 2 v E 0 C f q T / e 6 9 V 1 A A A A A A S A A A C g A A A A E A A A A C u n R x 1 s b f B d O B Z i z 8 v i l + N Q A A A A U D k g n v 8 a 8 w o Z 6 Z 7 6 z v d 0 H Z Y p + D b D 3 J Q 8 p B D J Q v q q 9 3 x y X a Z 9 h H B i 2 j C 3 W / y 0 v a v M o T v i C t 5 n d N B W Y o 4 U v h s V P P o H N f T g S G 2 y l p 8 J y 9 1 I s H g U A A A A a 2 U N 2 8 t U 4 G T n e b x 9 I 9 G C 0 U K l X j w = < / D a t a M a s h u p > 
</file>

<file path=customXml/item2.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AB3B036B-48F4-4271-8BE6-CB36F78B320D}">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 Applications by Month</vt:lpstr>
      <vt:lpstr>Table 2 Applications by Type</vt:lpstr>
      <vt:lpstr>Table 3 Applications by Channel</vt:lpstr>
      <vt:lpstr>Table 4 Applications by Age </vt:lpstr>
      <vt:lpstr>Table 5 Applications by LA </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vt:lpstr>
      <vt:lpstr>Table 13a Re-determinations</vt:lpstr>
      <vt:lpstr>Table 13b Appeals</vt:lpstr>
      <vt:lpstr>Table 14 Reviews</vt:lpstr>
      <vt:lpstr>Chart 1</vt:lpstr>
      <vt:lpstr>Chart 2</vt:lpstr>
      <vt:lpstr>Chart 3</vt:lpstr>
      <vt:lpstr>Table 2 - Full data</vt:lpstr>
      <vt:lpstr>Table 4 - Full data</vt:lpstr>
      <vt:lpstr>Table 5 - Full data</vt:lpstr>
      <vt:lpstr>Table 6 - Full data</vt:lpstr>
      <vt:lpstr>Table 7 - Full data</vt:lpstr>
      <vt:lpstr>Table 8 - Full data</vt:lpstr>
      <vt:lpstr>Table 9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2021-07-27T09:16:02Z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