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9860" windowHeight="5690" tabRatio="852"/>
  </bookViews>
  <sheets>
    <sheet name="Table of Contents" sheetId="1" r:id="rId1"/>
    <sheet name="Table 1 Applications by Month" sheetId="65" r:id="rId2"/>
    <sheet name="Table 2 Applications by Channel" sheetId="66" r:id="rId3"/>
    <sheet name="Table 3 Applications by LA" sheetId="100" r:id="rId4"/>
    <sheet name="Table 4 Processing Times" sheetId="88" r:id="rId5"/>
    <sheet name="Table 5a Payments by Age " sheetId="101" r:id="rId6"/>
    <sheet name="Table 5b Mean Value of Payments" sheetId="103" r:id="rId7"/>
    <sheet name="Table 6 Payments by Month" sheetId="74" r:id="rId8"/>
    <sheet name="Table 7 Payments by LA " sheetId="102" r:id="rId9"/>
    <sheet name="Table 8a Re-determinations" sheetId="75" r:id="rId10"/>
    <sheet name="Table 8b Appeals" sheetId="71" r:id="rId11"/>
    <sheet name="Chart 1 Applications by Month" sheetId="23" r:id="rId12"/>
    <sheet name="Chart 2 Payments to Recipients" sheetId="83" r:id="rId13"/>
    <sheet name="Table 3 - Full data" sheetId="92" r:id="rId14"/>
    <sheet name="Table 7 - Full data" sheetId="95" r:id="rId15"/>
  </sheets>
  <externalReferences>
    <externalReference r:id="rId16"/>
  </externalReferences>
  <definedNames>
    <definedName name="BENEFIT">[1]DATA!$D$2:$D$8</definedName>
    <definedName name="ExternalData_1" localSheetId="2" hidden="1">'Table 2 Applications by Channel'!$A$6:$G$35</definedName>
    <definedName name="HOLIDAYS">[1]DATA!$K$2:$K$32</definedName>
    <definedName name="OUTCOME">[1]DATA!$W$2:$W$6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100" l="1"/>
  <c r="B42" i="100" s="1"/>
  <c r="A43" i="100"/>
  <c r="D43" i="100" s="1"/>
  <c r="A44" i="100"/>
  <c r="F44" i="100" s="1"/>
  <c r="E44" i="100" l="1"/>
  <c r="C43" i="100"/>
  <c r="D44" i="100"/>
  <c r="B43" i="100"/>
  <c r="F42" i="100"/>
  <c r="C44" i="100"/>
  <c r="D42" i="100"/>
  <c r="B44" i="100"/>
  <c r="F43" i="100"/>
  <c r="E43" i="100"/>
  <c r="C42" i="100"/>
  <c r="E42" i="100"/>
  <c r="A44" i="102"/>
  <c r="B44" i="102" s="1"/>
  <c r="A9" i="102"/>
  <c r="A43" i="102"/>
  <c r="A42" i="102"/>
  <c r="B42" i="102" s="1"/>
  <c r="A41" i="102"/>
  <c r="A40" i="102"/>
  <c r="A39" i="102"/>
  <c r="A38" i="102"/>
  <c r="A37" i="102"/>
  <c r="A36" i="102"/>
  <c r="A35" i="102"/>
  <c r="A34" i="102"/>
  <c r="A33" i="102"/>
  <c r="A32" i="102"/>
  <c r="A31" i="102"/>
  <c r="A30" i="102"/>
  <c r="A29" i="102"/>
  <c r="A28" i="102"/>
  <c r="A27" i="102"/>
  <c r="A26" i="102"/>
  <c r="A25" i="102"/>
  <c r="B25" i="102" s="1"/>
  <c r="A24" i="102"/>
  <c r="A23" i="102"/>
  <c r="A22" i="102"/>
  <c r="A21" i="102"/>
  <c r="A20" i="102"/>
  <c r="A19" i="102"/>
  <c r="A18" i="102"/>
  <c r="A17" i="102"/>
  <c r="A16" i="102"/>
  <c r="A15" i="102"/>
  <c r="A14" i="102"/>
  <c r="A13" i="102"/>
  <c r="A12" i="102"/>
  <c r="A11" i="102"/>
  <c r="A10" i="102"/>
  <c r="C43" i="102" l="1"/>
  <c r="B43" i="102"/>
  <c r="C12" i="102"/>
  <c r="B12" i="102"/>
  <c r="C20" i="102"/>
  <c r="B20" i="102"/>
  <c r="C28" i="102"/>
  <c r="B28" i="102"/>
  <c r="C36" i="102"/>
  <c r="B36" i="102"/>
  <c r="B9" i="102"/>
  <c r="C9" i="102"/>
  <c r="C34" i="102"/>
  <c r="B34" i="102"/>
  <c r="C29" i="102"/>
  <c r="B29" i="102"/>
  <c r="B37" i="102"/>
  <c r="C37" i="102"/>
  <c r="C44" i="102"/>
  <c r="C10" i="102"/>
  <c r="B10" i="102"/>
  <c r="C27" i="102"/>
  <c r="B27" i="102"/>
  <c r="B21" i="102"/>
  <c r="C21" i="102"/>
  <c r="B14" i="102"/>
  <c r="C14" i="102"/>
  <c r="B22" i="102"/>
  <c r="C22" i="102"/>
  <c r="B30" i="102"/>
  <c r="C30" i="102"/>
  <c r="B38" i="102"/>
  <c r="C38" i="102"/>
  <c r="C42" i="102"/>
  <c r="B15" i="102"/>
  <c r="C15" i="102"/>
  <c r="B23" i="102"/>
  <c r="C23" i="102"/>
  <c r="B31" i="102"/>
  <c r="C31" i="102"/>
  <c r="B39" i="102"/>
  <c r="C39" i="102"/>
  <c r="C18" i="102"/>
  <c r="B18" i="102"/>
  <c r="C11" i="102"/>
  <c r="B11" i="102"/>
  <c r="C35" i="102"/>
  <c r="B35" i="102"/>
  <c r="B16" i="102"/>
  <c r="C16" i="102"/>
  <c r="B24" i="102"/>
  <c r="C24" i="102"/>
  <c r="B32" i="102"/>
  <c r="C32" i="102"/>
  <c r="B40" i="102"/>
  <c r="C40" i="102"/>
  <c r="C26" i="102"/>
  <c r="B26" i="102"/>
  <c r="C19" i="102"/>
  <c r="B19" i="102"/>
  <c r="C13" i="102"/>
  <c r="B13" i="102"/>
  <c r="B17" i="102"/>
  <c r="C17" i="102"/>
  <c r="C25" i="102"/>
  <c r="C33" i="102"/>
  <c r="B33" i="102"/>
  <c r="B41" i="102"/>
  <c r="C41" i="102"/>
  <c r="A33" i="100"/>
  <c r="B33" i="100" s="1"/>
  <c r="A15" i="100"/>
  <c r="B15" i="100" s="1"/>
  <c r="A13" i="100"/>
  <c r="B13" i="100" s="1"/>
  <c r="A10" i="100"/>
  <c r="C10" i="100" s="1"/>
  <c r="A41" i="100"/>
  <c r="E41" i="100" s="1"/>
  <c r="A40" i="100"/>
  <c r="D40" i="100" s="1"/>
  <c r="A39" i="100"/>
  <c r="D39" i="100" s="1"/>
  <c r="A38" i="100"/>
  <c r="C38" i="100" s="1"/>
  <c r="A37" i="100"/>
  <c r="C37" i="100" s="1"/>
  <c r="A36" i="100"/>
  <c r="F36" i="100" s="1"/>
  <c r="A35" i="100"/>
  <c r="F35" i="100" s="1"/>
  <c r="A34" i="100"/>
  <c r="E34" i="100" s="1"/>
  <c r="A32" i="100"/>
  <c r="D32" i="100" s="1"/>
  <c r="A31" i="100"/>
  <c r="D31" i="100" s="1"/>
  <c r="A30" i="100"/>
  <c r="C30" i="100" s="1"/>
  <c r="A29" i="100"/>
  <c r="C29" i="100" s="1"/>
  <c r="A28" i="100"/>
  <c r="F28" i="100" s="1"/>
  <c r="A27" i="100"/>
  <c r="F27" i="100" s="1"/>
  <c r="A26" i="100"/>
  <c r="E26" i="100" s="1"/>
  <c r="A25" i="100"/>
  <c r="E25" i="100" s="1"/>
  <c r="A24" i="100"/>
  <c r="D24" i="100" s="1"/>
  <c r="A23" i="100"/>
  <c r="D23" i="100" s="1"/>
  <c r="A22" i="100"/>
  <c r="C22" i="100" s="1"/>
  <c r="A21" i="100"/>
  <c r="C21" i="100" s="1"/>
  <c r="A20" i="100"/>
  <c r="F20" i="100" s="1"/>
  <c r="A19" i="100"/>
  <c r="F19" i="100" s="1"/>
  <c r="A18" i="100"/>
  <c r="E18" i="100" s="1"/>
  <c r="A17" i="100"/>
  <c r="E17" i="100" s="1"/>
  <c r="A16" i="100"/>
  <c r="D16" i="100" s="1"/>
  <c r="A14" i="100"/>
  <c r="C14" i="100" s="1"/>
  <c r="A12" i="100"/>
  <c r="F12" i="100" s="1"/>
  <c r="A11" i="100"/>
  <c r="A9" i="100"/>
  <c r="F9" i="100" s="1"/>
  <c r="F11" i="100" l="1"/>
  <c r="B11" i="100"/>
  <c r="B9" i="100"/>
  <c r="C9" i="100"/>
  <c r="D9" i="100"/>
  <c r="E9" i="100"/>
  <c r="D33" i="100"/>
  <c r="B38" i="100"/>
  <c r="B37" i="100"/>
  <c r="B30" i="100"/>
  <c r="E35" i="100"/>
  <c r="B29" i="100"/>
  <c r="C39" i="100"/>
  <c r="E27" i="100"/>
  <c r="B10" i="100"/>
  <c r="B28" i="100"/>
  <c r="C31" i="100"/>
  <c r="E19" i="100"/>
  <c r="B22" i="100"/>
  <c r="C23" i="100"/>
  <c r="E11" i="100"/>
  <c r="B12" i="100"/>
  <c r="B21" i="100"/>
  <c r="C15" i="100"/>
  <c r="F37" i="100"/>
  <c r="B39" i="100"/>
  <c r="B20" i="100"/>
  <c r="D41" i="100"/>
  <c r="F29" i="100"/>
  <c r="F21" i="100"/>
  <c r="B36" i="100"/>
  <c r="B27" i="100"/>
  <c r="B19" i="100"/>
  <c r="C36" i="100"/>
  <c r="C28" i="100"/>
  <c r="C20" i="100"/>
  <c r="C12" i="100"/>
  <c r="D38" i="100"/>
  <c r="D30" i="100"/>
  <c r="D22" i="100"/>
  <c r="D14" i="100"/>
  <c r="E40" i="100"/>
  <c r="E32" i="100"/>
  <c r="E24" i="100"/>
  <c r="E16" i="100"/>
  <c r="F34" i="100"/>
  <c r="F26" i="100"/>
  <c r="F18" i="100"/>
  <c r="D25" i="100"/>
  <c r="F10" i="100"/>
  <c r="B35" i="100"/>
  <c r="B26" i="100"/>
  <c r="B18" i="100"/>
  <c r="C35" i="100"/>
  <c r="C27" i="100"/>
  <c r="C19" i="100"/>
  <c r="C11" i="100"/>
  <c r="D37" i="100"/>
  <c r="D29" i="100"/>
  <c r="D21" i="100"/>
  <c r="D13" i="100"/>
  <c r="E39" i="100"/>
  <c r="E31" i="100"/>
  <c r="E23" i="100"/>
  <c r="E15" i="100"/>
  <c r="F41" i="100"/>
  <c r="F33" i="100"/>
  <c r="F25" i="100"/>
  <c r="F17" i="100"/>
  <c r="D17" i="100"/>
  <c r="E10" i="100"/>
  <c r="B34" i="100"/>
  <c r="B25" i="100"/>
  <c r="B17" i="100"/>
  <c r="C34" i="100"/>
  <c r="C26" i="100"/>
  <c r="C18" i="100"/>
  <c r="D36" i="100"/>
  <c r="D28" i="100"/>
  <c r="D20" i="100"/>
  <c r="D12" i="100"/>
  <c r="E38" i="100"/>
  <c r="E30" i="100"/>
  <c r="E22" i="100"/>
  <c r="E14" i="100"/>
  <c r="F40" i="100"/>
  <c r="F32" i="100"/>
  <c r="F24" i="100"/>
  <c r="F16" i="100"/>
  <c r="F13" i="100"/>
  <c r="D10" i="100"/>
  <c r="B41" i="100"/>
  <c r="B32" i="100"/>
  <c r="B24" i="100"/>
  <c r="B16" i="100"/>
  <c r="C41" i="100"/>
  <c r="C33" i="100"/>
  <c r="C25" i="100"/>
  <c r="C17" i="100"/>
  <c r="D35" i="100"/>
  <c r="D27" i="100"/>
  <c r="D19" i="100"/>
  <c r="D11" i="100"/>
  <c r="E37" i="100"/>
  <c r="E29" i="100"/>
  <c r="E21" i="100"/>
  <c r="E13" i="100"/>
  <c r="F39" i="100"/>
  <c r="F31" i="100"/>
  <c r="F23" i="100"/>
  <c r="F15" i="100"/>
  <c r="B40" i="100"/>
  <c r="B31" i="100"/>
  <c r="B23" i="100"/>
  <c r="B14" i="100"/>
  <c r="C40" i="100"/>
  <c r="C32" i="100"/>
  <c r="C24" i="100"/>
  <c r="C16" i="100"/>
  <c r="D34" i="100"/>
  <c r="D26" i="100"/>
  <c r="D18" i="100"/>
  <c r="E36" i="100"/>
  <c r="E28" i="100"/>
  <c r="E20" i="100"/>
  <c r="E12" i="100"/>
  <c r="F38" i="100"/>
  <c r="F30" i="100"/>
  <c r="F22" i="100"/>
  <c r="F14" i="100"/>
  <c r="C13" i="100"/>
  <c r="D15" i="100"/>
  <c r="E33" i="100"/>
</calcChain>
</file>

<file path=xl/connections.xml><?xml version="1.0" encoding="utf-8"?>
<connections xmlns="http://schemas.openxmlformats.org/spreadsheetml/2006/main">
  <connection id="1" keepAlive="1" name="Query - Table245 (4)" description="Connection to the 'Table245 (4)' query in the workbook." type="5" refreshedVersion="6" background="1" saveData="1">
    <dbPr connection="Provider=Microsoft.Mashup.OleDb.1;Data Source=$Workbook$;Location=&quot;Table245 (4)&quot;;Extended Properties=&quot;&quot;" command="SELECT * FROM [Table245 (4)]"/>
  </connection>
  <connection id="2" keepAlive="1" name="Query - Table245 (4)(1)" description="Connection to the 'Table245 (4)' query in the workbook." type="5" refreshedVersion="6" background="1" saveData="1">
    <dbPr connection="Provider=Microsoft.Mashup.OleDb.1;Data Source=$Workbook$;Location=&quot;Table245 (4)&quot;;Extended Properties=&quot;&quot;" command="SELECT * FROM [Table245 (4)]"/>
  </connection>
  <connection id="3" keepAlive="1" name="Query - Table245 (5)" description="Connection to the 'Table245 (5)' query in the workbook." type="5" refreshedVersion="6" background="1" saveData="1">
    <dbPr connection="Provider=Microsoft.Mashup.OleDb.1;Data Source=$Workbook$;Location=&quot;Table245 (5)&quot;;Extended Properties=&quot;&quot;" command="SELECT * FROM [Table245 (5)]"/>
  </connection>
</connections>
</file>

<file path=xl/sharedStrings.xml><?xml version="1.0" encoding="utf-8"?>
<sst xmlns="http://schemas.openxmlformats.org/spreadsheetml/2006/main" count="788" uniqueCount="379">
  <si>
    <t>Table 1</t>
  </si>
  <si>
    <t>Table 2</t>
  </si>
  <si>
    <t>Table 3</t>
  </si>
  <si>
    <t>Table 4</t>
  </si>
  <si>
    <t>Table 6</t>
  </si>
  <si>
    <t>Total</t>
  </si>
  <si>
    <t>See the data quality section of the publication for further information about how postcodes are matched to local authorities and country.</t>
  </si>
  <si>
    <t>Figures are rounded for disclosure control and may not sum due to rounding.</t>
  </si>
  <si>
    <t>Month</t>
  </si>
  <si>
    <t>Chart 1</t>
  </si>
  <si>
    <t>Chart 2</t>
  </si>
  <si>
    <t>Table 7</t>
  </si>
  <si>
    <t xml:space="preserve">Total applications received 
</t>
  </si>
  <si>
    <t xml:space="preserve">Online Applications </t>
  </si>
  <si>
    <t xml:space="preserve">Total applications processed </t>
  </si>
  <si>
    <t>[c] Figures suppressed for disclosure control</t>
  </si>
  <si>
    <t>Aberdeen City 2019_2020</t>
  </si>
  <si>
    <t>Aberdeen City 2020_2021</t>
  </si>
  <si>
    <t>Aberdeen City 2021_2022</t>
  </si>
  <si>
    <t>Aberdeenshire 2019_2020</t>
  </si>
  <si>
    <t>Aberdeenshire 2020_2021</t>
  </si>
  <si>
    <t>Aberdeenshire 2021_2022</t>
  </si>
  <si>
    <t>Angus 2019_2020</t>
  </si>
  <si>
    <t>Angus 2020_2021</t>
  </si>
  <si>
    <t>Angus 2021_2022</t>
  </si>
  <si>
    <t>Clackmannanshire 2019_2020</t>
  </si>
  <si>
    <t>Clackmannanshire 2020_2021</t>
  </si>
  <si>
    <t>Clackmannanshire 2021_2022</t>
  </si>
  <si>
    <t>Dundee City 2019_2020</t>
  </si>
  <si>
    <t>Dundee City 2020_2021</t>
  </si>
  <si>
    <t>Dundee City 2021_2022</t>
  </si>
  <si>
    <t>East Ayrshire 2019_2020</t>
  </si>
  <si>
    <t>East Ayrshire 2020_2021</t>
  </si>
  <si>
    <t>East Ayrshire 2021_2022</t>
  </si>
  <si>
    <t>East Dunbartonshire 2019_2020</t>
  </si>
  <si>
    <t>East Dunbartonshire 2020_2021</t>
  </si>
  <si>
    <t>East Dunbartonshire 2021_2022</t>
  </si>
  <si>
    <t>East Lothian 2019_2020</t>
  </si>
  <si>
    <t>East Lothian 2020_2021</t>
  </si>
  <si>
    <t>East Lothian 2021_2022</t>
  </si>
  <si>
    <t>East Renfrewshire 2019_2020</t>
  </si>
  <si>
    <t>East Renfrewshire 2020_2021</t>
  </si>
  <si>
    <t>East Renfrewshire 2021_2022</t>
  </si>
  <si>
    <t>Edinburgh, City of 2019_2020</t>
  </si>
  <si>
    <t>Edinburgh, City of 2020_2021</t>
  </si>
  <si>
    <t>Edinburgh, City of 2021_2022</t>
  </si>
  <si>
    <t>Falkirk 2019_2020</t>
  </si>
  <si>
    <t>Falkirk 2020_2021</t>
  </si>
  <si>
    <t>Falkirk 2021_2022</t>
  </si>
  <si>
    <t>Fife 2019_2020</t>
  </si>
  <si>
    <t>Fife 2020_2021</t>
  </si>
  <si>
    <t>Fife 2021_2022</t>
  </si>
  <si>
    <t>Glasgow City 2019_2020</t>
  </si>
  <si>
    <t>Glasgow City 2020_2021</t>
  </si>
  <si>
    <t>Glasgow City 2021_2022</t>
  </si>
  <si>
    <t>Highland 2019_2020</t>
  </si>
  <si>
    <t>Highland 2020_2021</t>
  </si>
  <si>
    <t>Highland 2021_2022</t>
  </si>
  <si>
    <t>Inverclyde 2019_2020</t>
  </si>
  <si>
    <t>Inverclyde 2020_2021</t>
  </si>
  <si>
    <t>Inverclyde 2021_2022</t>
  </si>
  <si>
    <t>Midlothian 2019_2020</t>
  </si>
  <si>
    <t>Midlothian 2020_2021</t>
  </si>
  <si>
    <t>Midlothian 2021_2022</t>
  </si>
  <si>
    <t>Moray 2019_2020</t>
  </si>
  <si>
    <t>Moray 2020_2021</t>
  </si>
  <si>
    <t>Moray 2021_2022</t>
  </si>
  <si>
    <t>Na h-Eileanan Siar 2019_2020</t>
  </si>
  <si>
    <t>Na h-Eileanan Siar 2020_2021</t>
  </si>
  <si>
    <t>Na h-Eileanan Siar 2021_2022</t>
  </si>
  <si>
    <t>No address 2019_2020</t>
  </si>
  <si>
    <t>No address 2020_2021</t>
  </si>
  <si>
    <t>No address 2021_2022</t>
  </si>
  <si>
    <t>North Ayrshire 2019_2020</t>
  </si>
  <si>
    <t>North Ayrshire 2020_2021</t>
  </si>
  <si>
    <t>North Ayrshire 2021_2022</t>
  </si>
  <si>
    <t>North Lanarkshire 2019_2020</t>
  </si>
  <si>
    <t>North Lanarkshire 2020_2021</t>
  </si>
  <si>
    <t>North Lanarkshire 2021_2022</t>
  </si>
  <si>
    <t>Orkney Islands 2019_2020</t>
  </si>
  <si>
    <t>Orkney Islands 2020_2021</t>
  </si>
  <si>
    <t>Orkney Islands 2021_2022</t>
  </si>
  <si>
    <t>Renfrewshire 2019_2020</t>
  </si>
  <si>
    <t>Renfrewshire 2020_2021</t>
  </si>
  <si>
    <t>Renfrewshire 2021_2022</t>
  </si>
  <si>
    <t>Scottish Borders 2019_2020</t>
  </si>
  <si>
    <t>Scottish Borders 2020_2021</t>
  </si>
  <si>
    <t>Scottish Borders 2021_2022</t>
  </si>
  <si>
    <t>Shetland Islands 2019_2020</t>
  </si>
  <si>
    <t>Shetland Islands 2020_2021</t>
  </si>
  <si>
    <t>Shetland Islands 2021_2022</t>
  </si>
  <si>
    <t>South Ayrshire 2019_2020</t>
  </si>
  <si>
    <t>South Ayrshire 2020_2021</t>
  </si>
  <si>
    <t>South Ayrshire 2021_2022</t>
  </si>
  <si>
    <t>South Lanarkshire 2019_2020</t>
  </si>
  <si>
    <t>South Lanarkshire 2020_2021</t>
  </si>
  <si>
    <t>South Lanarkshire 2021_2022</t>
  </si>
  <si>
    <t>Stirling 2019_2020</t>
  </si>
  <si>
    <t>Stirling 2020_2021</t>
  </si>
  <si>
    <t>Stirling 2021_2022</t>
  </si>
  <si>
    <t>Total 2019_2020</t>
  </si>
  <si>
    <t>Total 2020_2021</t>
  </si>
  <si>
    <t>Total 2021_2022</t>
  </si>
  <si>
    <t>West Dunbartonshire 2019_2020</t>
  </si>
  <si>
    <t>West Dunbartonshire 2020_2021</t>
  </si>
  <si>
    <t>West Dunbartonshire 2021_2022</t>
  </si>
  <si>
    <t>West Lothian 2019_2020</t>
  </si>
  <si>
    <t>West Lothian 2020_2021</t>
  </si>
  <si>
    <t>West Lothian 2021_2022</t>
  </si>
  <si>
    <t>2019_2020</t>
  </si>
  <si>
    <t>2020_2021</t>
  </si>
  <si>
    <t>2021_2022</t>
  </si>
  <si>
    <t>Financial Years</t>
  </si>
  <si>
    <t>Unknown - Scottish address 2019_2020</t>
  </si>
  <si>
    <t>Unknown - Scottish address 2020_2021</t>
  </si>
  <si>
    <t>Unknown - Scottish address 2021_2022</t>
  </si>
  <si>
    <t>Non-Scottish postcode 2019_2020</t>
  </si>
  <si>
    <t>Non-Scottish postcode 2020_2021</t>
  </si>
  <si>
    <t>Non-Scottish postcode 2021_2022</t>
  </si>
  <si>
    <t>All time</t>
  </si>
  <si>
    <t>Aberdeen City All time</t>
  </si>
  <si>
    <t>Aberdeenshire All time</t>
  </si>
  <si>
    <t>Angus All time</t>
  </si>
  <si>
    <t>Clackmannanshire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</si>
  <si>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</si>
  <si>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</si>
  <si>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</si>
  <si>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</si>
  <si>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</si>
  <si>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</si>
  <si>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</si>
  <si>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</si>
  <si>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</si>
  <si>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</si>
  <si>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</si>
  <si>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</si>
  <si>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</si>
  <si>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</si>
  <si>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 address All time</t>
  </si>
  <si>
    <t>North Ayrshire All time</t>
  </si>
  <si>
    <t>North Lanarkshire All time</t>
  </si>
  <si>
    <t>Orkney Islands All time</t>
  </si>
  <si>
    <t>Renfrewshire All time</t>
  </si>
  <si>
    <t>Scottish Borders All time</t>
  </si>
  <si>
    <t>Shetland Islands All time</t>
  </si>
  <si>
    <t>South Ayrshire All time</t>
  </si>
  <si>
    <t>South Lanarkshire All time</t>
  </si>
  <si>
    <t>Stirling All time</t>
  </si>
  <si>
    <t>Total All time</t>
  </si>
  <si>
    <t>West Dunbartonshire All time</t>
  </si>
  <si>
    <t>West Lothian All time</t>
  </si>
  <si>
    <t>Non-Scottish postcode All time</t>
  </si>
  <si>
    <t>Unknown - Scottish address All time</t>
  </si>
  <si>
    <t>February 2020</t>
  </si>
  <si>
    <t>February 2021</t>
  </si>
  <si>
    <t>September 2019</t>
  </si>
  <si>
    <t>October 2019</t>
  </si>
  <si>
    <t>November 2019</t>
  </si>
  <si>
    <t>December 2019</t>
  </si>
  <si>
    <t>January 2020</t>
  </si>
  <si>
    <t>March 2020</t>
  </si>
  <si>
    <t>April 2020</t>
  </si>
  <si>
    <t>May 2020</t>
  </si>
  <si>
    <t>June 2020</t>
  </si>
  <si>
    <t>July 2020</t>
  </si>
  <si>
    <t>August 2020</t>
  </si>
  <si>
    <t>September 2020</t>
  </si>
  <si>
    <t>October 2020</t>
  </si>
  <si>
    <t>November 2020</t>
  </si>
  <si>
    <t>December 2020</t>
  </si>
  <si>
    <t>January 2021</t>
  </si>
  <si>
    <t>March 2021</t>
  </si>
  <si>
    <t>April 2021</t>
  </si>
  <si>
    <t>May 2021</t>
  </si>
  <si>
    <t>This worksheet contains one table. Applications are summarised by month and financial year totals are located at the bottom of the table.</t>
  </si>
  <si>
    <t>Applications processed in the same day</t>
  </si>
  <si>
    <t>Applications processed within 10 days</t>
  </si>
  <si>
    <t>Applications processed within 15 days</t>
  </si>
  <si>
    <t>Average Processing Time 
[note 4]</t>
  </si>
  <si>
    <t>Processing Time by Month 
[note 1][note 2]</t>
  </si>
  <si>
    <t>Financial Year 2019-2020</t>
  </si>
  <si>
    <t>Financial Year 2020-2021</t>
  </si>
  <si>
    <t>Financial Year 2021-2022</t>
  </si>
  <si>
    <t>[note 3] Upheld means upheld in the applicant's favour</t>
  </si>
  <si>
    <t xml:space="preserve">Percentage of total applications received </t>
  </si>
  <si>
    <t>Percentage of processed applications authorised</t>
  </si>
  <si>
    <t>Percentage of processed applications denied</t>
  </si>
  <si>
    <t xml:space="preserve">Percentage of processed applications withdrawn </t>
  </si>
  <si>
    <t xml:space="preserve">Percentage of Online Applications </t>
  </si>
  <si>
    <t>Percentage of applications processed within 10 days 
[note 3]</t>
  </si>
  <si>
    <t>Dumfries and Galloway 2019_2020</t>
  </si>
  <si>
    <t>Dumfries and Galloway 2020_2021</t>
  </si>
  <si>
    <t>Dumfries and Galloway 2021_2022</t>
  </si>
  <si>
    <t>Dumfries and Galloway All time</t>
  </si>
  <si>
    <t>[c]</t>
  </si>
  <si>
    <t xml:space="preserve">Denied Applications </t>
  </si>
  <si>
    <t xml:space="preserve">Withdrawn applications </t>
  </si>
  <si>
    <t>Applications processed in 
1-5 days</t>
  </si>
  <si>
    <t>Applications processed in 
6-10 days</t>
  </si>
  <si>
    <t>Applications processed in 
11-15 days</t>
  </si>
  <si>
    <t>Applications processed in 
16-20 days</t>
  </si>
  <si>
    <t>Applications processed in 
21 or more days</t>
  </si>
  <si>
    <t>Applications processed in 
16 days or more 
[note 3]</t>
  </si>
  <si>
    <t>Month
 [note 1][note 2][note 3][note 4]</t>
  </si>
  <si>
    <t xml:space="preserve">Total applications excluding 
re-determinations
</t>
  </si>
  <si>
    <t>This worksheet contains one table. Applications are summarised by month and application channel.</t>
  </si>
  <si>
    <t>This worksheet contains one table on processing times. Applications are summarised by month. Percentages of total processed applications are located at the bottom of the table.</t>
  </si>
  <si>
    <t>[note 4] Financial Year 2020 - 2021 includes the months from April 2020 to March 2021.</t>
  </si>
  <si>
    <t>Applications Received by month 
[note 1]</t>
  </si>
  <si>
    <t>This worksheet contains one table which uses a drop down menu to present the statistics by financial year. To select the financial year, navigate to cell B5 and either click the down arrow on screen or use the keyboard shortcut alt plus the down arrow.</t>
  </si>
  <si>
    <t>To view the full data behind this table please see the worksheet titled Table 7 - Full data.</t>
  </si>
  <si>
    <t>Applications for Funeral Support Payment by month</t>
  </si>
  <si>
    <t>Applications for Funeral Support Payment by application channel</t>
  </si>
  <si>
    <t>Applications for Funeral Support Payment by local authority</t>
  </si>
  <si>
    <t>Processing times for Funeral Support Payment, by month</t>
  </si>
  <si>
    <t>Number and value of Funeral Support Payments issued, by age of deceased</t>
  </si>
  <si>
    <t>Appeals for Funeral Support Payment management information</t>
  </si>
  <si>
    <t>Re-determinations for Funeral Support Payment management information</t>
  </si>
  <si>
    <t>[note 2] Financial Year 2020 - 2021 includes the months from April 2020 to March 2021.</t>
  </si>
  <si>
    <t>[note 1] Financial Year 2019 - 2020 includes the months from September 2019 to March 2020.</t>
  </si>
  <si>
    <t xml:space="preserve">[note 5] Applications are processed once a decision has been made to authorise or deny, or once an application is withdrawn by the applicant. Data is presented by the month of decision rather than month the application was received. </t>
  </si>
  <si>
    <t>Total applications processed  [note 5]</t>
  </si>
  <si>
    <t>Authorised applications</t>
  </si>
  <si>
    <t>June 2021</t>
  </si>
  <si>
    <t>Table 1: Applications for Funeral Support Payment by month</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</si>
  <si>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</si>
  <si>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 xml:space="preserve">Paper Applications 
</t>
  </si>
  <si>
    <t>Phone Applications 
[note 2]</t>
  </si>
  <si>
    <t>Table 3: Applications for Funeral Support Payment by Local Authority</t>
  </si>
  <si>
    <t>Table 4: Processing Times for Funeral Support Payment by month</t>
  </si>
  <si>
    <t>Table 6: Number and value of Funeral Support Payments, by recipient and month</t>
  </si>
  <si>
    <t>To view the full data behind this table please see the worksheet titled Table 3 - Full data.</t>
  </si>
  <si>
    <t xml:space="preserve">[note 2] Data is presented by the month of decision rather than month the application was received. </t>
  </si>
  <si>
    <t>[note 4] The median is the middle value of an ordered dataset, or the point at which half of the values are higher and half of the values are lower.</t>
  </si>
  <si>
    <t>17 and under</t>
  </si>
  <si>
    <t>18 and over</t>
  </si>
  <si>
    <t>Total payments issued</t>
  </si>
  <si>
    <t>Total Value of payments</t>
  </si>
  <si>
    <t>Payments issued to client</t>
  </si>
  <si>
    <t>Paid to funeral director</t>
  </si>
  <si>
    <t>[note 3] Financial Year 2019 - 2020 includes the months from September 2019 to March 2020.</t>
  </si>
  <si>
    <t>[c] Figures are suppressed where they would disclose a small cohort or allow for the calculation of a small cohort.</t>
  </si>
  <si>
    <t>[note 2] Figures presented for re-determinations received exclude any invalid requests.</t>
  </si>
  <si>
    <t xml:space="preserve">[note 3] Data is presented by the month of decision rather than month the re-determination was received. </t>
  </si>
  <si>
    <t xml:space="preserve">[note 4] Average days to respond are only calculated for re-determinations that were disallowed, allowed, or partially allowed - this figure excludes re-determinations that were withdrawn. </t>
  </si>
  <si>
    <t xml:space="preserve">[note 5] Median average has been used. The median is the middle value of an ordered dataset, or the point at which half of the values are higher and half of the values are lower. </t>
  </si>
  <si>
    <t>Month [note 1]</t>
  </si>
  <si>
    <t>Number of 
re-determinations 
received 
[note 2]</t>
  </si>
  <si>
    <t xml:space="preserve">Re-determinations as a percentage of decisions processed 
</t>
  </si>
  <si>
    <t>Re-determinations completed 
[note 3]</t>
  </si>
  <si>
    <t>Completed 
re-determinations 
which are disallowed 
[note 3]</t>
  </si>
  <si>
    <t>Completed 
re-determinations 
which are allowed or partially allowed 
[note 3]</t>
  </si>
  <si>
    <t>Completed 
re-determinations 
which are withdrawn 
[note 3]</t>
  </si>
  <si>
    <t>Median response time in working days 
[note 3][note 4][note 5]</t>
  </si>
  <si>
    <t>Table 8a: Re-determinations for Funeral Support Payment Management Information</t>
  </si>
  <si>
    <t>Table 8b: Appeals for Funeral Support Payment Management Information</t>
  </si>
  <si>
    <t>Table 8a</t>
  </si>
  <si>
    <t>Table 8b</t>
  </si>
  <si>
    <t>Number of 
appeals
received 
[note 1]</t>
  </si>
  <si>
    <t>[note 1] Number of appeals received and completed excludes withdrawn and invalid appeals.</t>
  </si>
  <si>
    <t>[note 2] Appeals completed is based on the date that the client receives the decision.</t>
  </si>
  <si>
    <t>Completed appeals not upheld 
[note 3]</t>
  </si>
  <si>
    <t>Completed appeals upheld 
[note 3]</t>
  </si>
  <si>
    <t>Number of appeals completed 
[note 1][note 2]</t>
  </si>
  <si>
    <t>Chart 1: Applications for Funeral Support Payment by month</t>
  </si>
  <si>
    <t>Chart 2: Number of Funeral Support Payments issued to recipients</t>
  </si>
  <si>
    <t>Percentage of Paper Applications</t>
  </si>
  <si>
    <t>Percentage of Phone Applications</t>
  </si>
  <si>
    <t>n/a</t>
  </si>
  <si>
    <t xml:space="preserve">Financial Year selection 
</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</si>
  <si>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</si>
  <si>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Some applications did not have a postcode and therefore cannot be matched to local authority or country.</t>
  </si>
  <si>
    <t xml:space="preserve">[note 4] Applications are processed once a decision has been made to authorise or deny, or once an application is withdrawn by the applicant. Data is presented by the month of decision rather than month the application was received. </t>
  </si>
  <si>
    <t>Local Authority 
[note 1][note 2][note 3]</t>
  </si>
  <si>
    <t>Argyll and Bute 2019_2020</t>
  </si>
  <si>
    <t>Argyll and Bute 2020_2021</t>
  </si>
  <si>
    <t>Argyll and Bute 2021_2022</t>
  </si>
  <si>
    <t>Argyll and Bute All time</t>
  </si>
  <si>
    <t>Perth and Kinross 2019_2020</t>
  </si>
  <si>
    <t>Perth and Kinross 2020_2021</t>
  </si>
  <si>
    <t>Perth and Kinross 2021_2022</t>
  </si>
  <si>
    <t>Perth and Kinross All time</t>
  </si>
  <si>
    <t>Percentage of Total Applications Processed</t>
  </si>
  <si>
    <t>Value of Payments awarded</t>
  </si>
  <si>
    <t>Unknown - Scottish Address 2019_2020</t>
  </si>
  <si>
    <t>Unknown - Scottish Address 2020_2021</t>
  </si>
  <si>
    <t>Unknown - Scottish Address All time</t>
  </si>
  <si>
    <t>No Address All time</t>
  </si>
  <si>
    <t>Unknown - Scottish Address 2021_2022</t>
  </si>
  <si>
    <t>No Address 2020_2021</t>
  </si>
  <si>
    <t>No Address 2019_2020</t>
  </si>
  <si>
    <t>No Address 2021_2022</t>
  </si>
  <si>
    <t xml:space="preserve">Table 3 - Full data </t>
  </si>
  <si>
    <t xml:space="preserve">Applications for Funeral Support Payment by local authority - Full data </t>
  </si>
  <si>
    <t>Applications for Funeral Support Payment by month - Chart</t>
  </si>
  <si>
    <t>Number of Funeral Support Payments issued to recipients - Chart</t>
  </si>
  <si>
    <t>Table 7 - Full data</t>
  </si>
  <si>
    <t>This worksheet contains one table which summarises payments by month. Financial year totals are located at the bottom of the table.</t>
  </si>
  <si>
    <t>Percentage paid to client</t>
  </si>
  <si>
    <t>Percentage paid to funeral director</t>
  </si>
  <si>
    <t xml:space="preserve">[note 4] Payments are issued once applications are processed and a decision is made to authorise the application. Data is presented by the date a payment is issued rather than date the application was received or the date of decision. </t>
  </si>
  <si>
    <t>[note 5] Includes payments that are a result of re-determinations and appeals.</t>
  </si>
  <si>
    <r>
      <t>[c] Figures</t>
    </r>
    <r>
      <rPr>
        <sz val="12"/>
        <color rgb="FFFF0000"/>
        <rFont val="Calibri"/>
        <family val="2"/>
        <scheme val="minor"/>
      </rPr>
      <t xml:space="preserve"> </t>
    </r>
    <r>
      <rPr>
        <sz val="12"/>
        <color theme="1"/>
        <rFont val="Calibri"/>
        <family val="2"/>
        <scheme val="minor"/>
      </rPr>
      <t>suppressed for disclosure control</t>
    </r>
  </si>
  <si>
    <t>This worksheet contains one table which summarises re-determinations by month.</t>
  </si>
  <si>
    <t>This worksheet contains one table which summarises appeals by month.</t>
  </si>
  <si>
    <t>Age of Deceased</t>
  </si>
  <si>
    <t>Table 5a: Number and value of Funeral Support Payments issued, by age of deceased</t>
  </si>
  <si>
    <t>This worksheet contains one table which summarises the all time number of payments and all time value of payments by age of deceased.</t>
  </si>
  <si>
    <t xml:space="preserve">[note 1] Payments are issued once applications are processed and a decision is made to authorise the application. </t>
  </si>
  <si>
    <t>Table 5b: Mean average value of Funeral Support Payments, by age of deceased</t>
  </si>
  <si>
    <t>[note 2] The standard flat rate paid to clients increased from £700 to £1,000 for applications received on or after 1 April 2020. This further increased to £1,010 from April 2021.</t>
  </si>
  <si>
    <t xml:space="preserve">[note 3] For payments by date of issue, data is presented by the financial year of payment, according to the month the payment was issued, rather than the financial year the application was received. </t>
  </si>
  <si>
    <t>[note 4] The mean value of payments issued for each financial year have been calculated using the date of payment issue. Some payments issued in the Financial Year 2020-2021 may relate to applications received prior to the 1 April 2020 and therefore will have not received the increased rate of payment. Similarly,  some payments issued in the Financial Year 2021-2022 may relate to applications received prior to the 1 April 2021 and therefore will have not received the increased rate of payment.</t>
  </si>
  <si>
    <t xml:space="preserve">[note 5] For payments made by date of application, data is presented according to the month the application was received. </t>
  </si>
  <si>
    <t>[note 7] Financial Year 2019 - 2020 includes September 2019 to March 2020.</t>
  </si>
  <si>
    <t>[note 8] Financial Year 2020 - 2021 includes April 2020 to March 2021.</t>
  </si>
  <si>
    <r>
      <rPr>
        <b/>
        <u/>
        <sz val="12"/>
        <color theme="1"/>
        <rFont val="Calibri"/>
        <family val="2"/>
        <scheme val="minor"/>
      </rPr>
      <t>Payment by date of issue</t>
    </r>
    <r>
      <rPr>
        <u/>
        <sz val="12"/>
        <color theme="1"/>
        <rFont val="Calibri"/>
        <family val="2"/>
        <scheme val="minor"/>
      </rPr>
      <t xml:space="preserve"> </t>
    </r>
    <r>
      <rPr>
        <sz val="12"/>
        <color theme="1"/>
        <rFont val="Calibri"/>
        <family val="2"/>
        <scheme val="minor"/>
      </rPr>
      <t xml:space="preserve">
Mean average value issued in Financial Year
</t>
    </r>
    <r>
      <rPr>
        <b/>
        <sz val="12"/>
        <color theme="1"/>
        <rFont val="Calibri"/>
        <family val="2"/>
        <scheme val="minor"/>
      </rPr>
      <t xml:space="preserve">2019_2020 </t>
    </r>
    <r>
      <rPr>
        <sz val="12"/>
        <color theme="1"/>
        <rFont val="Calibri"/>
        <family val="2"/>
        <scheme val="minor"/>
      </rPr>
      <t xml:space="preserve">
[note 1][note 2][note 3]
[note 4][note 7]</t>
    </r>
  </si>
  <si>
    <r>
      <rPr>
        <b/>
        <u/>
        <sz val="12"/>
        <color theme="1"/>
        <rFont val="Calibri"/>
        <family val="2"/>
        <scheme val="minor"/>
      </rPr>
      <t>Payment by date of issue</t>
    </r>
    <r>
      <rPr>
        <u/>
        <sz val="12"/>
        <color theme="1"/>
        <rFont val="Calibri"/>
        <family val="2"/>
        <scheme val="minor"/>
      </rPr>
      <t xml:space="preserve"> </t>
    </r>
    <r>
      <rPr>
        <sz val="12"/>
        <color theme="1"/>
        <rFont val="Calibri"/>
        <family val="2"/>
        <scheme val="minor"/>
      </rPr>
      <t xml:space="preserve">
Mean average value issued in Financial Year
</t>
    </r>
    <r>
      <rPr>
        <b/>
        <sz val="12"/>
        <color theme="1"/>
        <rFont val="Calibri"/>
        <family val="2"/>
        <scheme val="minor"/>
      </rPr>
      <t xml:space="preserve">2020_2021 </t>
    </r>
    <r>
      <rPr>
        <sz val="12"/>
        <color theme="1"/>
        <rFont val="Calibri"/>
        <family val="2"/>
        <scheme val="minor"/>
      </rPr>
      <t xml:space="preserve">
[note 1][note 2][note 3]
[note 4][note 8]</t>
    </r>
  </si>
  <si>
    <r>
      <rPr>
        <b/>
        <u/>
        <sz val="12"/>
        <color theme="1"/>
        <rFont val="Calibri"/>
        <family val="2"/>
        <scheme val="minor"/>
      </rPr>
      <t xml:space="preserve">Payment by date of issue </t>
    </r>
    <r>
      <rPr>
        <sz val="12"/>
        <color theme="1"/>
        <rFont val="Calibri"/>
        <family val="2"/>
        <scheme val="minor"/>
      </rPr>
      <t xml:space="preserve">
Mean average value issued in Financial Year
</t>
    </r>
    <r>
      <rPr>
        <b/>
        <sz val="12"/>
        <color theme="1"/>
        <rFont val="Calibri"/>
        <family val="2"/>
        <scheme val="minor"/>
      </rPr>
      <t xml:space="preserve">2021_2022 </t>
    </r>
    <r>
      <rPr>
        <sz val="12"/>
        <color theme="1"/>
        <rFont val="Calibri"/>
        <family val="2"/>
        <scheme val="minor"/>
      </rPr>
      <t xml:space="preserve">
[note 1][note 2][note 3]
[note 4][note 9]</t>
    </r>
  </si>
  <si>
    <t>This worksheet contains one table. It summarises the average value of payments by age of deceased and also by date of issue and date of application.</t>
  </si>
  <si>
    <t>Table 2: Applications for Funeral Support Payment by channel</t>
  </si>
  <si>
    <t>Table 5a</t>
  </si>
  <si>
    <t xml:space="preserve">Table 5b </t>
  </si>
  <si>
    <t>Mean average value of Funeral Support Payments, by age of deceased</t>
  </si>
  <si>
    <t>Number and value of Funeral Support Payments, by recipient and month</t>
  </si>
  <si>
    <t>not applicable</t>
  </si>
  <si>
    <t xml:space="preserve">Authorised applications </t>
  </si>
  <si>
    <t xml:space="preserve">Number of payments by date of issue 
[note 1]
</t>
  </si>
  <si>
    <t xml:space="preserve">Total value of payments by date of issue 
[note 1]
</t>
  </si>
  <si>
    <r>
      <rPr>
        <b/>
        <u/>
        <sz val="12"/>
        <color theme="1"/>
        <rFont val="Calibri"/>
        <family val="2"/>
        <scheme val="minor"/>
      </rPr>
      <t>Payment by date of application</t>
    </r>
    <r>
      <rPr>
        <sz val="12"/>
        <color theme="1"/>
        <rFont val="Calibri"/>
        <family val="2"/>
        <scheme val="minor"/>
      </rPr>
      <t xml:space="preserve">
Mean average value for application received in Financial Year
</t>
    </r>
    <r>
      <rPr>
        <b/>
        <sz val="12"/>
        <color theme="1"/>
        <rFont val="Calibri"/>
        <family val="2"/>
        <scheme val="minor"/>
      </rPr>
      <t xml:space="preserve">2019_2020 </t>
    </r>
    <r>
      <rPr>
        <sz val="12"/>
        <color theme="1"/>
        <rFont val="Calibri"/>
        <family val="2"/>
        <scheme val="minor"/>
      </rPr>
      <t xml:space="preserve">
[note 1][note 2][note 5]
[note 6][note 7]</t>
    </r>
  </si>
  <si>
    <r>
      <rPr>
        <b/>
        <u/>
        <sz val="12"/>
        <color theme="1"/>
        <rFont val="Calibri"/>
        <family val="2"/>
        <scheme val="minor"/>
      </rPr>
      <t>Payment by date of application</t>
    </r>
    <r>
      <rPr>
        <u/>
        <sz val="12"/>
        <color theme="1"/>
        <rFont val="Calibri"/>
        <family val="2"/>
        <scheme val="minor"/>
      </rPr>
      <t xml:space="preserve"> </t>
    </r>
    <r>
      <rPr>
        <sz val="12"/>
        <color theme="1"/>
        <rFont val="Calibri"/>
        <family val="2"/>
        <scheme val="minor"/>
      </rPr>
      <t xml:space="preserve">
Mean average value for application received in Financial Year
</t>
    </r>
    <r>
      <rPr>
        <b/>
        <sz val="12"/>
        <color theme="1"/>
        <rFont val="Calibri"/>
        <family val="2"/>
        <scheme val="minor"/>
      </rPr>
      <t xml:space="preserve">2020_2021 </t>
    </r>
    <r>
      <rPr>
        <sz val="12"/>
        <color theme="1"/>
        <rFont val="Calibri"/>
        <family val="2"/>
        <scheme val="minor"/>
      </rPr>
      <t xml:space="preserve">
[note 1][note 2][note 5]
[note 6][note 8]</t>
    </r>
  </si>
  <si>
    <r>
      <rPr>
        <b/>
        <u/>
        <sz val="12"/>
        <color theme="1"/>
        <rFont val="Calibri"/>
        <family val="2"/>
        <scheme val="minor"/>
      </rPr>
      <t xml:space="preserve">Payment by date of application </t>
    </r>
    <r>
      <rPr>
        <sz val="12"/>
        <color theme="1"/>
        <rFont val="Calibri"/>
        <family val="2"/>
        <scheme val="minor"/>
      </rPr>
      <t xml:space="preserve">
Mean average value for application received in Financial Year
</t>
    </r>
    <r>
      <rPr>
        <b/>
        <sz val="12"/>
        <color theme="1"/>
        <rFont val="Calibri"/>
        <family val="2"/>
        <scheme val="minor"/>
      </rPr>
      <t xml:space="preserve">2021_2022 </t>
    </r>
    <r>
      <rPr>
        <sz val="12"/>
        <color theme="1"/>
        <rFont val="Calibri"/>
        <family val="2"/>
        <scheme val="minor"/>
      </rPr>
      <t xml:space="preserve">
[note 1][note 2][note 5]
[note 6][note 9]</t>
    </r>
  </si>
  <si>
    <t>[note 6] The mean value of payments for each financial year have been calculated using the date of application in order to separate applications that were received before and after the payment increase for applications received on or after the 1 April 2020 and 1 April 2021.</t>
  </si>
  <si>
    <t>Value of Funeral Support Payments issued, by local authority - Full data</t>
  </si>
  <si>
    <t>July 2021</t>
  </si>
  <si>
    <t>August 2021</t>
  </si>
  <si>
    <t>September 2021</t>
  </si>
  <si>
    <t>Number of Payments</t>
  </si>
  <si>
    <t xml:space="preserve">Local Authority and Time Period
</t>
  </si>
  <si>
    <t>This worksheet contains one chart. Alternative text for this chart is located in cell A3.</t>
  </si>
  <si>
    <t xml:space="preserve">Alternative Text: This chart summarises the number of applications received since the benefit launched on 16 September 2019. Vertical bars are used to show the number of applications for each month, whilst a line shows the general trend through time. The figures used in this chart are located in Table 1 of this document. </t>
  </si>
  <si>
    <t xml:space="preserve">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6 of this document. </t>
  </si>
  <si>
    <t>Table of Contents</t>
  </si>
  <si>
    <t>Table or Chart Number</t>
  </si>
  <si>
    <t xml:space="preserve">Table or Chart Description </t>
  </si>
  <si>
    <t xml:space="preserve">Banded rows are used in this table. To remove these, highlight the table, go to the Design tab and uncheck the banded rows box. </t>
  </si>
  <si>
    <t>Data bars are used in this table. To remove these, select the table, go to the Home tab, click on Conditional Formatting and select Clear Rules from This Table.</t>
  </si>
  <si>
    <t>Number and value of Funeral Support Payments issued, by local authority</t>
  </si>
  <si>
    <t>Notes are located below this table and begin in cell A36.</t>
  </si>
  <si>
    <t>Notes are located below this table and begin in cell A45.</t>
  </si>
  <si>
    <t>Total applications processed 
[note 4]</t>
  </si>
  <si>
    <t>This worksheet contains one table which uses a drop down menu to present the statistics by financial year. To select the financial year, navigate to cell B7 and either click the down arrow on screen or use the keyboard shortcut alt plus the down arrow.</t>
  </si>
  <si>
    <t>[c] Figures suppressed for disclosure control.</t>
  </si>
  <si>
    <t>Notes are located below this table and begin in cell A10.</t>
  </si>
  <si>
    <t>Financial Year 2019 - 2020</t>
  </si>
  <si>
    <t>Financial Year 2020 - 2021</t>
  </si>
  <si>
    <t>Month of payment issue
[note 1][note 2][note 3]
[note 4][note 5]</t>
  </si>
  <si>
    <t>Table 7: Number and Value of Funeral Support Payments issued, by Local Authority</t>
  </si>
  <si>
    <t>Value of payments 
[note 4][note 5]</t>
  </si>
  <si>
    <t>[note 4] Funeral Support Payment was launched on the 16 September 2019 so figures for September 2019 are for the period 16 to 30 September only.</t>
  </si>
  <si>
    <t>[note 1] Funeral Support Payment was launched on the 16 September 2019 so figures are for the period 16 to 30 September only.</t>
  </si>
  <si>
    <t>[note 3] The Funeral Support Payment benefit was launched on the 16 September 2019 so figures are for the period 16 to 30 September only, leaving 11 working days in the month of September during which decisions could be made.</t>
  </si>
  <si>
    <t>[note 2] The Funeral Support Payment benefit was launched on the 16 September 2019, so figures are for the period 16 to 30 September 2019 only.</t>
  </si>
  <si>
    <t xml:space="preserve">Financial Year 2021 - 2022 </t>
  </si>
  <si>
    <t>Number of payments 
[note 4][note 5]</t>
  </si>
  <si>
    <t>[note 1] The Funeral Support Payment benefit was launched on the 16 September 2019 so figures are for the period 16 to 30 September only, leaving 11 working days in the month of September during which decisions could be made and any re-determinations completed.</t>
  </si>
  <si>
    <t>October 2021</t>
  </si>
  <si>
    <t>November 2021</t>
  </si>
  <si>
    <t>December 2021</t>
  </si>
  <si>
    <t>[note 3] Financial Year 2021 - 2022 includes the months from April 2021 to December 2021.</t>
  </si>
  <si>
    <t>Notes are located below this table and begin in cell A39.</t>
  </si>
  <si>
    <t>Notes are located below this table and begin in cell A37.</t>
  </si>
  <si>
    <t>[note 9] Financial Year 2021 - 2022 includes April 2021 to December 2021.</t>
  </si>
  <si>
    <t>Funeral Support Payment from 16 September 2019 to 31 December 2021</t>
  </si>
  <si>
    <t>[note 5] Financial Year 2021 - 2022 includes the months from April 2021 to December 2021 only.</t>
  </si>
  <si>
    <t>[note 2] Applications have been assigned as being non-Scottish if they do not appear on the lookup file used to match postcodes to Scottish local authorities, and if the applications are from a non-Scottish postcode area.</t>
  </si>
  <si>
    <t>[note 1] Processing time is calculated in working days, and public holidays are excluded, even if applications were processed by staff working overtime on these days. Processing time is only calculated for applications that were decided by 31 December 2021, and does not include any applications that are flagged as having had a re-determination request. The number of applications processed in this table is therefore lower than the number of decisions shown in other tables. Approximately 2% of processed applications are flagged as having a re-determination request and are excluded from these figures.</t>
  </si>
  <si>
    <t xml:space="preserve">[note 1] Payments are issued once applications are processed and a decision is made to authorise the application. Data is presented by the month of a payment being issued rather than the month the application was received or the month of decision. </t>
  </si>
  <si>
    <t>[note 2] Applications have been assigned as being non-Scottish if they do not appear on the lookup file used to match postcodes to Scottish local authorities, and if the applications are from a non-Scottish postcode area. Non-Scottish postcode applications that have been authorised or received payments did reflect a Scottish postcode at the time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</si>
</sst>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0_-;\-* #,##0_-;_-* &quot;-&quot;_-;_-@_-"/>
    <numFmt numFmtId="44" formatCode="_-&quot;£&quot;* #,##0.00_-;\-&quot;£&quot;* #,##0.00_-;_-&quot;£&quot;* &quot;-&quot;??_-;_-@_-"/>
    <numFmt numFmtId="43" formatCode="_-* #,##0.00_-;\-* #,##0.00_-;_-* &quot;-&quot;??_-;_-@_-"/>
    <numFmt numFmtId="164" formatCode="#,##0_ ;\-#,##0\ "/>
    <numFmt numFmtId="165" formatCode="0.000000"/>
    <numFmt numFmtId="166" formatCode="_-* #,##0_-;\-* #,##0_-;_-* &quot;-&quot;??_-;_-@_-"/>
    <numFmt numFmtId="167" formatCode="&quot;£&quot;#,##0"/>
    <numFmt numFmtId="168" formatCode="0.0%"/>
    <numFmt numFmtId="169" formatCode="_-[$£-809]* #,##0_-;\-[$£-809]* #,##0_-;_-[$£-809]*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b/>
      <sz val="12"/>
      <color theme="1"/>
      <name val="Calibri"/>
      <family val="2"/>
      <scheme val="minor"/>
    </font>
    <font>
      <b/>
      <sz val="16"/>
      <color theme="1"/>
      <name val="Calibri"/>
      <family val="2"/>
      <scheme val="minor"/>
    </font>
    <font>
      <b/>
      <sz val="16"/>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11"/>
      <name val="Calibri"/>
      <family val="2"/>
      <scheme val="minor"/>
    </font>
    <font>
      <u/>
      <sz val="12"/>
      <color theme="10"/>
      <name val="Calibri"/>
      <family val="2"/>
      <scheme val="minor"/>
    </font>
    <font>
      <b/>
      <u/>
      <sz val="12"/>
      <color theme="1"/>
      <name val="Calibri"/>
      <family val="2"/>
      <scheme val="minor"/>
    </font>
    <font>
      <u/>
      <sz val="12"/>
      <color theme="1"/>
      <name val="Calibri"/>
      <family val="2"/>
      <scheme val="minor"/>
    </font>
    <font>
      <sz val="12"/>
      <name val="Calibri"/>
      <family val="2"/>
      <scheme val="minor"/>
    </font>
    <font>
      <b/>
      <sz val="18"/>
      <name val="Calibri"/>
      <family val="2"/>
      <scheme val="minor"/>
    </font>
    <font>
      <sz val="18"/>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ck">
        <color theme="4"/>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style="thick">
        <color indexed="64"/>
      </left>
      <right/>
      <top/>
      <bottom/>
      <diagonal/>
    </border>
    <border>
      <left style="thin">
        <color indexed="64"/>
      </left>
      <right/>
      <top style="thin">
        <color auto="1"/>
      </top>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thick">
        <color indexed="64"/>
      </top>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rgb="FF000000"/>
      </left>
      <right/>
      <top/>
      <bottom style="thin">
        <color theme="1"/>
      </bottom>
      <diagonal/>
    </border>
    <border>
      <left style="thin">
        <color rgb="FF000000"/>
      </left>
      <right style="thin">
        <color indexed="64"/>
      </right>
      <top style="thin">
        <color rgb="FF000000"/>
      </top>
      <bottom style="thin">
        <color theme="1"/>
      </bottom>
      <diagonal/>
    </border>
    <border>
      <left style="thin">
        <color indexed="64"/>
      </left>
      <right style="thin">
        <color indexed="64"/>
      </right>
      <top/>
      <bottom style="thin">
        <color rgb="FF000000"/>
      </bottom>
      <diagonal/>
    </border>
    <border>
      <left style="thin">
        <color indexed="64"/>
      </left>
      <right style="thin">
        <color indexed="64"/>
      </right>
      <top/>
      <bottom style="medium">
        <color indexed="64"/>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3"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272">
    <xf numFmtId="0" fontId="0" fillId="0" borderId="0" xfId="0"/>
    <xf numFmtId="43" fontId="0" fillId="0" borderId="0" xfId="1" applyFont="1" applyBorder="1"/>
    <xf numFmtId="0" fontId="0" fillId="0" borderId="0" xfId="0" applyBorder="1"/>
    <xf numFmtId="0" fontId="0" fillId="0" borderId="0" xfId="0"/>
    <xf numFmtId="0" fontId="0" fillId="0" borderId="0" xfId="0" applyAlignment="1">
      <alignment horizontal="right"/>
    </xf>
    <xf numFmtId="0" fontId="0" fillId="0" borderId="0" xfId="0" applyAlignment="1">
      <alignment horizontal="center" vertical="center"/>
    </xf>
    <xf numFmtId="49" fontId="0" fillId="0" borderId="0" xfId="0" applyNumberFormat="1" applyAlignment="1">
      <alignment horizontal="left"/>
    </xf>
    <xf numFmtId="0" fontId="0" fillId="0" borderId="0" xfId="0" applyFill="1"/>
    <xf numFmtId="0" fontId="0" fillId="0" borderId="0" xfId="0" applyAlignment="1">
      <alignment horizontal="left"/>
    </xf>
    <xf numFmtId="0" fontId="7" fillId="0" borderId="0" xfId="4" applyFont="1" applyBorder="1"/>
    <xf numFmtId="0" fontId="7" fillId="0" borderId="0" xfId="4" applyFont="1" applyFill="1" applyBorder="1" applyAlignment="1"/>
    <xf numFmtId="0" fontId="0" fillId="0" borderId="0" xfId="0"/>
    <xf numFmtId="0" fontId="1" fillId="0" borderId="0" xfId="0" applyFont="1"/>
    <xf numFmtId="0" fontId="0" fillId="0" borderId="0" xfId="0" applyBorder="1"/>
    <xf numFmtId="0" fontId="0" fillId="0" borderId="0" xfId="0" applyAlignment="1">
      <alignment horizontal="left"/>
    </xf>
    <xf numFmtId="0" fontId="9" fillId="0" borderId="0" xfId="4" applyFont="1" applyFill="1" applyBorder="1"/>
    <xf numFmtId="0" fontId="10" fillId="0" borderId="0" xfId="0" applyFont="1"/>
    <xf numFmtId="0" fontId="10" fillId="0" borderId="0" xfId="0" applyFont="1" applyAlignment="1">
      <alignment wrapText="1"/>
    </xf>
    <xf numFmtId="0" fontId="5" fillId="0" borderId="0" xfId="0" applyFont="1"/>
    <xf numFmtId="0" fontId="6" fillId="0" borderId="0" xfId="0" applyFont="1"/>
    <xf numFmtId="0" fontId="8" fillId="0" borderId="12" xfId="0" applyFont="1" applyFill="1" applyBorder="1" applyAlignment="1">
      <alignment horizontal="center" vertical="center" wrapText="1"/>
    </xf>
    <xf numFmtId="0" fontId="11" fillId="0" borderId="0" xfId="0" applyFont="1" applyFill="1" applyBorder="1" applyAlignment="1">
      <alignment vertical="center" wrapText="1"/>
    </xf>
    <xf numFmtId="49" fontId="9" fillId="0" borderId="0" xfId="0" applyNumberFormat="1" applyFont="1" applyFill="1" applyBorder="1"/>
    <xf numFmtId="9" fontId="12" fillId="0" borderId="0" xfId="2" applyFont="1"/>
    <xf numFmtId="0" fontId="10" fillId="0" borderId="0" xfId="0" applyFont="1"/>
    <xf numFmtId="0" fontId="8" fillId="0" borderId="10" xfId="0" applyFont="1" applyFill="1" applyBorder="1" applyAlignment="1">
      <alignment horizontal="center" vertical="center" wrapText="1"/>
    </xf>
    <xf numFmtId="0" fontId="10" fillId="0" borderId="7" xfId="0" applyFont="1" applyBorder="1"/>
    <xf numFmtId="0" fontId="10" fillId="0" borderId="0" xfId="0" applyFont="1" applyFill="1" applyAlignment="1">
      <alignment wrapText="1"/>
    </xf>
    <xf numFmtId="0" fontId="10" fillId="0" borderId="0" xfId="0" applyFont="1" applyFill="1" applyAlignment="1"/>
    <xf numFmtId="0" fontId="10" fillId="0" borderId="0" xfId="0" applyFont="1" applyAlignment="1"/>
    <xf numFmtId="0" fontId="0" fillId="0" borderId="0" xfId="0" applyFont="1" applyAlignment="1">
      <alignment horizontal="left" vertical="top" wrapText="1"/>
    </xf>
    <xf numFmtId="0" fontId="0" fillId="0" borderId="0" xfId="0" applyAlignment="1"/>
    <xf numFmtId="0" fontId="10" fillId="0" borderId="0" xfId="0" applyFont="1" applyBorder="1"/>
    <xf numFmtId="0" fontId="8" fillId="0" borderId="0" xfId="4" applyFont="1" applyBorder="1"/>
    <xf numFmtId="0" fontId="10" fillId="0" borderId="0" xfId="0" applyFont="1" applyFill="1" applyAlignment="1">
      <alignment horizontal="left"/>
    </xf>
    <xf numFmtId="0" fontId="8" fillId="0" borderId="0" xfId="0" applyFont="1" applyFill="1" applyBorder="1" applyAlignment="1">
      <alignment horizontal="center" vertical="center" wrapText="1"/>
    </xf>
    <xf numFmtId="0" fontId="10" fillId="0" borderId="0" xfId="0" applyFont="1" applyAlignment="1">
      <alignment horizontal="center" vertical="center"/>
    </xf>
    <xf numFmtId="0" fontId="8" fillId="0" borderId="14" xfId="0" applyFont="1" applyBorder="1" applyAlignment="1">
      <alignment horizontal="center" vertical="center" wrapText="1"/>
    </xf>
    <xf numFmtId="9" fontId="9" fillId="0" borderId="11" xfId="0" applyNumberFormat="1" applyFont="1" applyFill="1" applyBorder="1"/>
    <xf numFmtId="0" fontId="0" fillId="0" borderId="0" xfId="0" applyAlignment="1">
      <alignment horizontal="left"/>
    </xf>
    <xf numFmtId="0" fontId="0" fillId="0" borderId="0" xfId="0" applyAlignment="1">
      <alignment horizontal="left" wrapText="1"/>
    </xf>
    <xf numFmtId="49" fontId="13" fillId="0" borderId="0" xfId="0" applyNumberFormat="1" applyFont="1" applyFill="1" applyAlignment="1">
      <alignment horizontal="left"/>
    </xf>
    <xf numFmtId="0" fontId="9" fillId="0" borderId="0" xfId="4" applyFont="1" applyFill="1" applyBorder="1" applyAlignment="1"/>
    <xf numFmtId="49" fontId="13" fillId="0" borderId="0" xfId="0" applyNumberFormat="1" applyFont="1" applyFill="1" applyBorder="1" applyAlignment="1">
      <alignment horizontal="left"/>
    </xf>
    <xf numFmtId="0" fontId="9" fillId="0" borderId="0" xfId="0" applyFont="1" applyFill="1" applyBorder="1"/>
    <xf numFmtId="0" fontId="10" fillId="0" borderId="0" xfId="0" applyFont="1" applyFill="1"/>
    <xf numFmtId="49" fontId="8" fillId="0" borderId="5" xfId="0" applyNumberFormat="1" applyFont="1" applyFill="1" applyBorder="1" applyAlignment="1">
      <alignment horizontal="left" vertical="center" wrapText="1"/>
    </xf>
    <xf numFmtId="9" fontId="9" fillId="0" borderId="8" xfId="0" applyNumberFormat="1" applyFont="1" applyFill="1" applyBorder="1"/>
    <xf numFmtId="0" fontId="8" fillId="0" borderId="1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5" fillId="0" borderId="4" xfId="0" applyFont="1" applyBorder="1"/>
    <xf numFmtId="9" fontId="9" fillId="0" borderId="11" xfId="0" applyNumberFormat="1" applyFont="1" applyFill="1" applyBorder="1" applyAlignment="1">
      <alignment horizontal="right"/>
    </xf>
    <xf numFmtId="164" fontId="9" fillId="0" borderId="11" xfId="1" applyNumberFormat="1" applyFont="1" applyFill="1" applyBorder="1"/>
    <xf numFmtId="164" fontId="8" fillId="0" borderId="3" xfId="1" applyNumberFormat="1" applyFont="1" applyFill="1" applyBorder="1"/>
    <xf numFmtId="164" fontId="8" fillId="0" borderId="1" xfId="1" applyNumberFormat="1" applyFont="1" applyFill="1" applyBorder="1"/>
    <xf numFmtId="0" fontId="8" fillId="0" borderId="4" xfId="0" applyFont="1" applyFill="1" applyBorder="1" applyAlignment="1">
      <alignment horizontal="left" vertical="center"/>
    </xf>
    <xf numFmtId="0" fontId="8" fillId="0" borderId="5" xfId="0" applyFont="1" applyFill="1" applyBorder="1" applyAlignment="1">
      <alignment horizontal="right" vertical="center" wrapText="1"/>
    </xf>
    <xf numFmtId="0" fontId="8" fillId="0" borderId="20" xfId="0" applyFont="1" applyFill="1" applyBorder="1" applyAlignment="1">
      <alignment horizontal="center" vertical="center" wrapText="1"/>
    </xf>
    <xf numFmtId="0" fontId="8" fillId="0" borderId="19" xfId="0" applyFont="1" applyFill="1" applyBorder="1" applyAlignment="1">
      <alignment horizontal="center" vertical="center" wrapText="1"/>
    </xf>
    <xf numFmtId="9" fontId="8" fillId="0" borderId="18" xfId="0" applyNumberFormat="1" applyFont="1" applyFill="1" applyBorder="1"/>
    <xf numFmtId="165" fontId="0" fillId="0" borderId="0" xfId="0" applyNumberFormat="1"/>
    <xf numFmtId="9" fontId="8" fillId="0" borderId="12" xfId="0" applyNumberFormat="1" applyFont="1" applyFill="1" applyBorder="1" applyAlignment="1">
      <alignment horizontal="right"/>
    </xf>
    <xf numFmtId="164" fontId="9" fillId="0" borderId="11" xfId="1" applyNumberFormat="1" applyFont="1" applyFill="1" applyBorder="1" applyAlignment="1">
      <alignment horizontal="right"/>
    </xf>
    <xf numFmtId="164" fontId="9" fillId="0" borderId="0" xfId="1" applyNumberFormat="1" applyFont="1" applyFill="1" applyBorder="1" applyAlignment="1">
      <alignment horizontal="right"/>
    </xf>
    <xf numFmtId="49" fontId="9" fillId="0" borderId="7" xfId="0" applyNumberFormat="1" applyFont="1" applyFill="1" applyBorder="1" applyAlignment="1">
      <alignment horizontal="left"/>
    </xf>
    <xf numFmtId="1" fontId="10" fillId="0" borderId="7" xfId="2" applyNumberFormat="1" applyFont="1" applyFill="1" applyBorder="1" applyAlignment="1">
      <alignment horizontal="left"/>
    </xf>
    <xf numFmtId="1" fontId="10" fillId="0" borderId="7" xfId="2" applyNumberFormat="1" applyFont="1" applyBorder="1" applyAlignment="1">
      <alignment horizontal="left"/>
    </xf>
    <xf numFmtId="164" fontId="9" fillId="0" borderId="0" xfId="1" applyNumberFormat="1" applyFont="1" applyFill="1" applyBorder="1"/>
    <xf numFmtId="0" fontId="10" fillId="0" borderId="7" xfId="0" applyFont="1" applyFill="1" applyBorder="1"/>
    <xf numFmtId="0" fontId="8" fillId="0" borderId="21" xfId="0" applyFont="1" applyFill="1" applyBorder="1" applyAlignment="1">
      <alignment horizontal="left" vertical="center"/>
    </xf>
    <xf numFmtId="9" fontId="8" fillId="0" borderId="12" xfId="0" applyNumberFormat="1" applyFont="1" applyFill="1" applyBorder="1"/>
    <xf numFmtId="0" fontId="10" fillId="0" borderId="0" xfId="0" applyFont="1" applyAlignment="1">
      <alignment horizontal="left"/>
    </xf>
    <xf numFmtId="9" fontId="9" fillId="0" borderId="0" xfId="0" applyNumberFormat="1" applyFont="1" applyBorder="1" applyAlignment="1">
      <alignment horizontal="right"/>
    </xf>
    <xf numFmtId="9" fontId="9" fillId="0" borderId="0" xfId="1" applyNumberFormat="1" applyFont="1" applyFill="1" applyBorder="1" applyAlignment="1">
      <alignment horizontal="right"/>
    </xf>
    <xf numFmtId="49" fontId="0" fillId="0" borderId="0" xfId="0" applyNumberFormat="1" applyAlignment="1">
      <alignment wrapText="1"/>
    </xf>
    <xf numFmtId="49" fontId="0" fillId="0" borderId="0" xfId="0" applyNumberFormat="1" applyAlignment="1">
      <alignment vertical="top" wrapText="1"/>
    </xf>
    <xf numFmtId="49" fontId="0" fillId="0" borderId="0" xfId="0" applyNumberFormat="1" applyAlignment="1"/>
    <xf numFmtId="49" fontId="0" fillId="0" borderId="0" xfId="0" applyNumberFormat="1" applyAlignment="1">
      <alignment vertical="top"/>
    </xf>
    <xf numFmtId="164" fontId="8" fillId="0" borderId="10" xfId="1" applyNumberFormat="1" applyFont="1" applyFill="1" applyBorder="1" applyAlignment="1">
      <alignment horizontal="right"/>
    </xf>
    <xf numFmtId="164" fontId="8" fillId="0" borderId="12" xfId="1" applyNumberFormat="1" applyFont="1" applyFill="1" applyBorder="1" applyAlignment="1">
      <alignment horizontal="right"/>
    </xf>
    <xf numFmtId="49" fontId="9" fillId="0" borderId="0" xfId="0" applyNumberFormat="1" applyFont="1" applyFill="1" applyBorder="1" applyAlignment="1">
      <alignment horizontal="left"/>
    </xf>
    <xf numFmtId="9" fontId="8" fillId="0" borderId="2" xfId="0" applyNumberFormat="1" applyFont="1" applyFill="1" applyBorder="1"/>
    <xf numFmtId="0" fontId="5" fillId="0" borderId="6" xfId="0" applyFont="1" applyBorder="1" applyAlignment="1">
      <alignment horizontal="center" vertical="center"/>
    </xf>
    <xf numFmtId="0" fontId="5" fillId="0" borderId="9" xfId="0" applyFont="1" applyFill="1" applyBorder="1" applyAlignment="1">
      <alignment horizontal="center" vertical="center" wrapText="1"/>
    </xf>
    <xf numFmtId="0" fontId="6" fillId="0" borderId="0" xfId="0" applyFont="1" applyProtection="1">
      <protection locked="0"/>
    </xf>
    <xf numFmtId="0" fontId="0" fillId="0" borderId="0" xfId="0" applyProtection="1">
      <protection locked="0"/>
    </xf>
    <xf numFmtId="0" fontId="1" fillId="0" borderId="0" xfId="0" applyFont="1" applyProtection="1">
      <protection locked="0"/>
    </xf>
    <xf numFmtId="0" fontId="7" fillId="0" borderId="0" xfId="4" applyFont="1" applyFill="1" applyBorder="1" applyAlignment="1" applyProtection="1">
      <protection locked="0"/>
    </xf>
    <xf numFmtId="0" fontId="9" fillId="0" borderId="0" xfId="4" applyFont="1" applyFill="1" applyBorder="1" applyAlignment="1" applyProtection="1">
      <protection locked="0"/>
    </xf>
    <xf numFmtId="0" fontId="9" fillId="0" borderId="0" xfId="4" applyFont="1" applyFill="1" applyBorder="1" applyProtection="1">
      <protection locked="0"/>
    </xf>
    <xf numFmtId="0" fontId="7" fillId="0" borderId="0" xfId="4" applyFont="1" applyBorder="1" applyProtection="1">
      <protection locked="0"/>
    </xf>
    <xf numFmtId="0" fontId="0" fillId="0" borderId="0" xfId="0" applyBorder="1" applyProtection="1">
      <protection locked="0"/>
    </xf>
    <xf numFmtId="0" fontId="8" fillId="0" borderId="10"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10" fillId="0" borderId="0" xfId="0" applyFont="1" applyProtection="1">
      <protection locked="0"/>
    </xf>
    <xf numFmtId="0" fontId="11" fillId="0" borderId="0" xfId="0" applyFont="1" applyFill="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protection locked="0"/>
    </xf>
    <xf numFmtId="164" fontId="8" fillId="0" borderId="1" xfId="1" applyNumberFormat="1" applyFont="1" applyFill="1" applyBorder="1" applyProtection="1">
      <protection locked="0"/>
    </xf>
    <xf numFmtId="9" fontId="8" fillId="0" borderId="3" xfId="0" applyNumberFormat="1" applyFont="1" applyFill="1" applyBorder="1" applyProtection="1">
      <protection locked="0"/>
    </xf>
    <xf numFmtId="49" fontId="9" fillId="0" borderId="0" xfId="0" applyNumberFormat="1" applyFont="1" applyFill="1" applyBorder="1" applyProtection="1">
      <protection locked="0"/>
    </xf>
    <xf numFmtId="164" fontId="9" fillId="0" borderId="11" xfId="1" applyNumberFormat="1" applyFont="1" applyFill="1" applyBorder="1" applyProtection="1">
      <protection locked="0"/>
    </xf>
    <xf numFmtId="9" fontId="9" fillId="0" borderId="11" xfId="0" applyNumberFormat="1" applyFont="1" applyFill="1" applyBorder="1" applyProtection="1">
      <protection locked="0"/>
    </xf>
    <xf numFmtId="9" fontId="1" fillId="0" borderId="0" xfId="2" applyFont="1" applyBorder="1" applyProtection="1">
      <protection locked="0"/>
    </xf>
    <xf numFmtId="9" fontId="2" fillId="0" borderId="0" xfId="2" applyFont="1" applyBorder="1" applyProtection="1">
      <protection locked="0"/>
    </xf>
    <xf numFmtId="0" fontId="10"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Border="1" applyAlignment="1" applyProtection="1">
      <alignment horizontal="left"/>
      <protection locked="0"/>
    </xf>
    <xf numFmtId="49" fontId="13" fillId="0" borderId="0" xfId="0" applyNumberFormat="1" applyFont="1" applyFill="1" applyAlignment="1" applyProtection="1">
      <alignment horizontal="left"/>
      <protection locked="0"/>
    </xf>
    <xf numFmtId="0" fontId="10" fillId="0" borderId="0" xfId="0" applyFont="1" applyAlignment="1" applyProtection="1">
      <alignment wrapText="1"/>
      <protection locked="0"/>
    </xf>
    <xf numFmtId="49" fontId="8" fillId="0" borderId="0" xfId="0" applyNumberFormat="1" applyFont="1" applyFill="1" applyBorder="1" applyAlignment="1" applyProtection="1">
      <alignment horizontal="left"/>
      <protection locked="0"/>
    </xf>
    <xf numFmtId="0" fontId="10" fillId="0" borderId="0" xfId="0" applyFont="1" applyAlignment="1" applyProtection="1">
      <protection locked="0"/>
    </xf>
    <xf numFmtId="9" fontId="0" fillId="0" borderId="0" xfId="2" applyFont="1" applyProtection="1">
      <protection locked="0"/>
    </xf>
    <xf numFmtId="49" fontId="9" fillId="0" borderId="16" xfId="0" applyNumberFormat="1" applyFont="1" applyFill="1" applyBorder="1" applyAlignment="1" applyProtection="1">
      <alignment horizontal="left"/>
      <protection locked="0"/>
    </xf>
    <xf numFmtId="49" fontId="13" fillId="0" borderId="0" xfId="0" applyNumberFormat="1" applyFont="1" applyFill="1" applyBorder="1" applyAlignment="1" applyProtection="1">
      <alignment horizontal="left"/>
      <protection locked="0"/>
    </xf>
    <xf numFmtId="0" fontId="8" fillId="0" borderId="21"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12" xfId="0" applyNumberFormat="1" applyFont="1" applyBorder="1" applyAlignment="1">
      <alignment horizontal="center" vertical="center" wrapText="1"/>
    </xf>
    <xf numFmtId="164" fontId="9" fillId="0" borderId="8" xfId="1" applyNumberFormat="1" applyFont="1" applyFill="1" applyBorder="1"/>
    <xf numFmtId="164" fontId="9" fillId="0" borderId="22" xfId="1" applyNumberFormat="1" applyFont="1" applyFill="1" applyBorder="1"/>
    <xf numFmtId="0" fontId="9" fillId="0" borderId="23" xfId="0" applyFont="1" applyFill="1" applyBorder="1"/>
    <xf numFmtId="0" fontId="0" fillId="0" borderId="0" xfId="0" applyFill="1" applyAlignment="1"/>
    <xf numFmtId="41" fontId="5" fillId="0" borderId="1" xfId="1" applyNumberFormat="1" applyFont="1" applyBorder="1" applyAlignment="1">
      <alignment horizontal="right"/>
    </xf>
    <xf numFmtId="2" fontId="10" fillId="0" borderId="0" xfId="0" applyNumberFormat="1" applyFont="1"/>
    <xf numFmtId="49" fontId="10" fillId="0" borderId="7" xfId="2" applyNumberFormat="1" applyFont="1" applyBorder="1" applyAlignment="1">
      <alignment horizontal="left"/>
    </xf>
    <xf numFmtId="49" fontId="9" fillId="0" borderId="7" xfId="2" applyNumberFormat="1" applyFont="1" applyFill="1" applyBorder="1" applyAlignment="1">
      <alignment horizontal="left"/>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49" fontId="8" fillId="0" borderId="7" xfId="0" applyNumberFormat="1" applyFont="1" applyFill="1" applyBorder="1" applyAlignment="1"/>
    <xf numFmtId="9" fontId="8" fillId="0" borderId="0" xfId="0" applyNumberFormat="1" applyFont="1" applyFill="1" applyBorder="1"/>
    <xf numFmtId="9" fontId="9" fillId="0" borderId="26" xfId="0" applyNumberFormat="1" applyFont="1" applyFill="1" applyBorder="1"/>
    <xf numFmtId="41" fontId="14" fillId="0" borderId="1" xfId="1" applyNumberFormat="1" applyFont="1" applyBorder="1" applyAlignment="1">
      <alignment horizontal="right"/>
    </xf>
    <xf numFmtId="0" fontId="1" fillId="0" borderId="2" xfId="0" applyFont="1" applyBorder="1"/>
    <xf numFmtId="9" fontId="9" fillId="0" borderId="11" xfId="2" applyNumberFormat="1" applyFont="1" applyFill="1" applyBorder="1" applyAlignment="1">
      <alignment horizontal="right"/>
    </xf>
    <xf numFmtId="9" fontId="9" fillId="0" borderId="1" xfId="0" applyNumberFormat="1" applyFont="1" applyFill="1" applyBorder="1" applyAlignment="1">
      <alignment horizontal="right"/>
    </xf>
    <xf numFmtId="164" fontId="9" fillId="0" borderId="15" xfId="1" applyNumberFormat="1" applyFont="1" applyFill="1" applyBorder="1" applyAlignment="1">
      <alignment horizontal="right"/>
    </xf>
    <xf numFmtId="164" fontId="9" fillId="0" borderId="8" xfId="1" applyNumberFormat="1" applyFont="1" applyFill="1" applyBorder="1" applyAlignment="1">
      <alignment horizontal="right"/>
    </xf>
    <xf numFmtId="1" fontId="9" fillId="0" borderId="0" xfId="0" applyNumberFormat="1" applyFont="1" applyFill="1" applyBorder="1"/>
    <xf numFmtId="0" fontId="0" fillId="0" borderId="7" xfId="0" applyBorder="1"/>
    <xf numFmtId="0" fontId="10" fillId="0" borderId="8" xfId="0" applyFont="1" applyFill="1" applyBorder="1"/>
    <xf numFmtId="0" fontId="10" fillId="0" borderId="15" xfId="0" applyFont="1" applyBorder="1"/>
    <xf numFmtId="0" fontId="10" fillId="0" borderId="8" xfId="0" applyFont="1" applyBorder="1"/>
    <xf numFmtId="0" fontId="15" fillId="0" borderId="0" xfId="3" applyFont="1" applyFill="1" applyProtection="1">
      <protection locked="0"/>
    </xf>
    <xf numFmtId="0" fontId="10" fillId="0" borderId="0" xfId="0" applyFont="1" applyFill="1" applyBorder="1"/>
    <xf numFmtId="9" fontId="9" fillId="0" borderId="0" xfId="0" applyNumberFormat="1" applyFont="1" applyFill="1" applyBorder="1" applyAlignment="1">
      <alignment horizontal="right"/>
    </xf>
    <xf numFmtId="0" fontId="5" fillId="0" borderId="9" xfId="0" applyFont="1" applyFill="1" applyBorder="1" applyAlignment="1">
      <alignment horizontal="center" vertical="center"/>
    </xf>
    <xf numFmtId="0" fontId="10" fillId="0" borderId="0" xfId="0" applyFont="1" applyAlignment="1">
      <alignment horizontal="left" wrapText="1"/>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Fill="1" applyAlignment="1">
      <alignment vertical="center"/>
    </xf>
    <xf numFmtId="165" fontId="10" fillId="0" borderId="0" xfId="0" applyNumberFormat="1" applyFont="1"/>
    <xf numFmtId="0" fontId="10" fillId="0" borderId="0" xfId="0" applyFont="1" applyFill="1" applyAlignment="1">
      <alignment horizontal="left" vertical="center"/>
    </xf>
    <xf numFmtId="0" fontId="10" fillId="0" borderId="0" xfId="0" applyFont="1" applyAlignment="1">
      <alignment horizontal="right"/>
    </xf>
    <xf numFmtId="9" fontId="9" fillId="0" borderId="19" xfId="0" applyNumberFormat="1" applyFont="1" applyFill="1" applyBorder="1"/>
    <xf numFmtId="0" fontId="10" fillId="0" borderId="0" xfId="0" applyFont="1" applyFill="1" applyAlignment="1">
      <alignment vertical="center" wrapText="1"/>
    </xf>
    <xf numFmtId="0" fontId="5" fillId="0" borderId="12" xfId="0" applyFont="1" applyBorder="1" applyAlignment="1">
      <alignment horizontal="center" vertical="center"/>
    </xf>
    <xf numFmtId="0" fontId="8" fillId="0" borderId="0" xfId="4" applyFont="1" applyFill="1" applyBorder="1" applyAlignment="1"/>
    <xf numFmtId="0" fontId="5" fillId="0" borderId="1" xfId="0" applyFont="1" applyBorder="1" applyAlignment="1">
      <alignment horizontal="center" vertical="center" wrapText="1"/>
    </xf>
    <xf numFmtId="166" fontId="5" fillId="0" borderId="3" xfId="1" applyNumberFormat="1" applyFont="1" applyBorder="1" applyAlignment="1">
      <alignment horizontal="right"/>
    </xf>
    <xf numFmtId="9" fontId="5" fillId="0" borderId="0" xfId="2" applyFont="1" applyBorder="1" applyAlignment="1">
      <alignment horizontal="right"/>
    </xf>
    <xf numFmtId="9" fontId="10" fillId="0" borderId="0" xfId="2" applyFont="1" applyFill="1" applyBorder="1"/>
    <xf numFmtId="9" fontId="5" fillId="0" borderId="0" xfId="2" applyFont="1" applyFill="1" applyBorder="1"/>
    <xf numFmtId="0" fontId="9" fillId="0" borderId="0" xfId="0" applyFont="1" applyFill="1" applyAlignment="1"/>
    <xf numFmtId="0" fontId="9" fillId="0" borderId="0" xfId="0" applyFont="1" applyFill="1" applyAlignment="1">
      <alignment vertical="center" wrapText="1"/>
    </xf>
    <xf numFmtId="1" fontId="5" fillId="0" borderId="1" xfId="1" applyNumberFormat="1" applyFont="1" applyBorder="1" applyAlignment="1">
      <alignment horizontal="right"/>
    </xf>
    <xf numFmtId="0" fontId="10" fillId="0" borderId="0" xfId="0" applyFont="1" applyFill="1" applyAlignment="1">
      <alignment vertical="top"/>
    </xf>
    <xf numFmtId="167" fontId="8" fillId="0" borderId="1" xfId="1" applyNumberFormat="1" applyFont="1" applyFill="1" applyBorder="1"/>
    <xf numFmtId="167" fontId="9" fillId="0" borderId="11" xfId="1" applyNumberFormat="1" applyFont="1" applyFill="1" applyBorder="1"/>
    <xf numFmtId="167" fontId="10" fillId="0" borderId="8" xfId="1" applyNumberFormat="1" applyFont="1" applyBorder="1" applyAlignment="1">
      <alignment horizontal="right"/>
    </xf>
    <xf numFmtId="3" fontId="10" fillId="0" borderId="0" xfId="0" applyNumberFormat="1" applyFont="1"/>
    <xf numFmtId="6" fontId="10" fillId="0" borderId="0" xfId="0" applyNumberFormat="1" applyFont="1"/>
    <xf numFmtId="6" fontId="0" fillId="0" borderId="0" xfId="0" applyNumberFormat="1"/>
    <xf numFmtId="0" fontId="5" fillId="0" borderId="2" xfId="0" applyFont="1" applyBorder="1" applyAlignment="1">
      <alignment horizontal="center" vertical="center" wrapText="1"/>
    </xf>
    <xf numFmtId="6" fontId="10" fillId="0" borderId="8" xfId="0" applyNumberFormat="1" applyFont="1" applyBorder="1"/>
    <xf numFmtId="0" fontId="5" fillId="0" borderId="5" xfId="0" applyFont="1" applyBorder="1"/>
    <xf numFmtId="6" fontId="5" fillId="0" borderId="1" xfId="0" applyNumberFormat="1" applyFont="1" applyBorder="1"/>
    <xf numFmtId="0" fontId="10" fillId="0" borderId="0" xfId="0" applyFont="1" applyFill="1" applyBorder="1" applyAlignment="1">
      <alignment vertical="center"/>
    </xf>
    <xf numFmtId="6" fontId="10" fillId="0" borderId="0" xfId="0" applyNumberFormat="1" applyFont="1" applyBorder="1"/>
    <xf numFmtId="0" fontId="10" fillId="0" borderId="24" xfId="0" applyFont="1" applyBorder="1"/>
    <xf numFmtId="0" fontId="5" fillId="2" borderId="3" xfId="0" applyFont="1" applyFill="1" applyBorder="1"/>
    <xf numFmtId="0" fontId="10" fillId="2" borderId="12" xfId="0" applyFont="1" applyFill="1" applyBorder="1"/>
    <xf numFmtId="0" fontId="5" fillId="0" borderId="3"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Fill="1" applyBorder="1" applyAlignment="1">
      <alignment vertical="center" wrapText="1"/>
    </xf>
    <xf numFmtId="168" fontId="8" fillId="0" borderId="2" xfId="0" applyNumberFormat="1" applyFont="1" applyFill="1" applyBorder="1" applyProtection="1">
      <protection locked="0"/>
    </xf>
    <xf numFmtId="168" fontId="9" fillId="0" borderId="11" xfId="0" applyNumberFormat="1" applyFont="1" applyFill="1" applyBorder="1" applyAlignment="1" applyProtection="1">
      <alignment horizontal="right"/>
      <protection locked="0"/>
    </xf>
    <xf numFmtId="168" fontId="9" fillId="0" borderId="11" xfId="0" applyNumberFormat="1" applyFont="1" applyFill="1" applyBorder="1" applyProtection="1">
      <protection locked="0"/>
    </xf>
    <xf numFmtId="0" fontId="10" fillId="0" borderId="0" xfId="0" applyFont="1" applyFill="1" applyAlignment="1">
      <alignment horizontal="left" vertical="center"/>
    </xf>
    <xf numFmtId="0" fontId="10" fillId="0" borderId="28" xfId="0" applyFont="1" applyBorder="1" applyAlignment="1">
      <alignment horizontal="center" vertical="center" wrapText="1"/>
    </xf>
    <xf numFmtId="0" fontId="10" fillId="0" borderId="0" xfId="0" applyFont="1" applyFill="1" applyAlignment="1">
      <alignment horizontal="left" vertical="top"/>
    </xf>
    <xf numFmtId="167" fontId="10" fillId="0" borderId="11" xfId="0" applyNumberFormat="1" applyFont="1" applyBorder="1"/>
    <xf numFmtId="167" fontId="10" fillId="0" borderId="11" xfId="0" applyNumberFormat="1" applyFont="1" applyBorder="1" applyAlignment="1">
      <alignment horizontal="right"/>
    </xf>
    <xf numFmtId="0" fontId="10" fillId="0" borderId="0" xfId="0" applyFont="1" applyFill="1" applyAlignment="1">
      <alignment horizontal="left" vertical="center"/>
    </xf>
    <xf numFmtId="49" fontId="9" fillId="0" borderId="0" xfId="0" applyNumberFormat="1" applyFont="1" applyFill="1" applyBorder="1" applyAlignment="1" applyProtection="1">
      <alignment horizontal="left"/>
      <protection locked="0"/>
    </xf>
    <xf numFmtId="164" fontId="18" fillId="0" borderId="11" xfId="1" applyNumberFormat="1" applyFont="1" applyFill="1" applyBorder="1" applyProtection="1">
      <protection locked="0"/>
    </xf>
    <xf numFmtId="9" fontId="18" fillId="0" borderId="11" xfId="0" applyNumberFormat="1" applyFont="1" applyFill="1" applyBorder="1" applyProtection="1">
      <protection locked="0"/>
    </xf>
    <xf numFmtId="9" fontId="18" fillId="0" borderId="17" xfId="0" applyNumberFormat="1" applyFont="1" applyFill="1" applyBorder="1" applyProtection="1">
      <protection locked="0"/>
    </xf>
    <xf numFmtId="164" fontId="18" fillId="0" borderId="17" xfId="1" applyNumberFormat="1" applyFont="1" applyFill="1" applyBorder="1" applyProtection="1">
      <protection locked="0"/>
    </xf>
    <xf numFmtId="49" fontId="9" fillId="0" borderId="0" xfId="0" applyNumberFormat="1" applyFont="1" applyFill="1" applyAlignment="1">
      <alignment horizontal="left"/>
    </xf>
    <xf numFmtId="164" fontId="9" fillId="0" borderId="23" xfId="1" applyNumberFormat="1" applyFont="1" applyFill="1" applyBorder="1"/>
    <xf numFmtId="49" fontId="9" fillId="0" borderId="30" xfId="0" applyNumberFormat="1" applyFont="1" applyFill="1" applyBorder="1" applyAlignment="1"/>
    <xf numFmtId="9" fontId="9" fillId="0" borderId="25" xfId="0" applyNumberFormat="1" applyFont="1" applyFill="1" applyBorder="1"/>
    <xf numFmtId="9" fontId="9" fillId="0" borderId="30" xfId="0" applyNumberFormat="1" applyFont="1" applyFill="1" applyBorder="1"/>
    <xf numFmtId="9" fontId="9" fillId="0" borderId="31" xfId="0" applyNumberFormat="1" applyFont="1" applyFill="1" applyBorder="1"/>
    <xf numFmtId="9" fontId="9" fillId="0" borderId="32" xfId="0" applyNumberFormat="1" applyFont="1" applyFill="1" applyBorder="1"/>
    <xf numFmtId="9" fontId="9" fillId="0" borderId="33" xfId="0" applyNumberFormat="1" applyFont="1" applyFill="1" applyBorder="1"/>
    <xf numFmtId="0" fontId="0" fillId="0" borderId="0" xfId="0" applyAlignment="1">
      <alignment horizontal="left" vertical="top" wrapText="1"/>
    </xf>
    <xf numFmtId="9" fontId="0" fillId="0" borderId="0" xfId="2" applyFont="1"/>
    <xf numFmtId="0" fontId="0" fillId="0" borderId="11" xfId="0" applyFill="1" applyBorder="1"/>
    <xf numFmtId="0" fontId="0" fillId="0" borderId="7" xfId="0" applyFill="1" applyBorder="1"/>
    <xf numFmtId="167" fontId="10" fillId="0" borderId="11" xfId="0" applyNumberFormat="1" applyFont="1" applyFill="1" applyBorder="1"/>
    <xf numFmtId="167" fontId="10" fillId="0" borderId="11" xfId="0" applyNumberFormat="1" applyFont="1" applyFill="1" applyBorder="1" applyAlignment="1">
      <alignment horizontal="right"/>
    </xf>
    <xf numFmtId="0" fontId="0" fillId="0" borderId="6" xfId="0" applyBorder="1"/>
    <xf numFmtId="0" fontId="0" fillId="0" borderId="21" xfId="0" applyBorder="1"/>
    <xf numFmtId="0" fontId="8" fillId="0" borderId="34" xfId="0" applyFont="1" applyFill="1" applyBorder="1" applyAlignment="1">
      <alignment horizontal="center" vertical="center" wrapText="1"/>
    </xf>
    <xf numFmtId="0" fontId="0" fillId="0" borderId="0" xfId="0" applyFill="1" applyAlignment="1">
      <alignment horizontal="left"/>
    </xf>
    <xf numFmtId="0" fontId="8" fillId="0" borderId="2" xfId="0" applyFont="1" applyFill="1" applyBorder="1" applyAlignment="1">
      <alignment horizontal="center" vertical="center" wrapText="1"/>
    </xf>
    <xf numFmtId="1" fontId="0" fillId="0" borderId="11" xfId="0" applyNumberFormat="1" applyFill="1" applyBorder="1" applyAlignment="1">
      <alignment horizontal="right"/>
    </xf>
    <xf numFmtId="9" fontId="0" fillId="0" borderId="11" xfId="0" applyNumberFormat="1" applyFill="1" applyBorder="1" applyAlignment="1">
      <alignment horizontal="right"/>
    </xf>
    <xf numFmtId="9" fontId="0" fillId="0" borderId="8" xfId="0" applyNumberFormat="1" applyFill="1" applyBorder="1" applyAlignment="1">
      <alignment horizontal="right"/>
    </xf>
    <xf numFmtId="0" fontId="8" fillId="0" borderId="35" xfId="0" applyFont="1" applyBorder="1" applyAlignment="1">
      <alignment horizontal="center" vertical="center"/>
    </xf>
    <xf numFmtId="0" fontId="5" fillId="0" borderId="10" xfId="0" applyFont="1" applyBorder="1" applyAlignment="1">
      <alignment horizontal="center" vertical="center"/>
    </xf>
    <xf numFmtId="0" fontId="0" fillId="0" borderId="11" xfId="0" applyFill="1" applyBorder="1" applyAlignment="1">
      <alignment horizontal="right"/>
    </xf>
    <xf numFmtId="0" fontId="20" fillId="0" borderId="0" xfId="0" applyFont="1"/>
    <xf numFmtId="0" fontId="19" fillId="0" borderId="0" xfId="4" applyFont="1" applyBorder="1"/>
    <xf numFmtId="0" fontId="0" fillId="0" borderId="0" xfId="0" applyAlignment="1">
      <alignment wrapText="1"/>
    </xf>
    <xf numFmtId="0" fontId="5" fillId="0" borderId="8" xfId="0" applyFont="1" applyBorder="1" applyProtection="1">
      <protection locked="0"/>
    </xf>
    <xf numFmtId="0" fontId="10" fillId="0" borderId="8" xfId="0" applyFont="1" applyBorder="1" applyProtection="1">
      <protection locked="0"/>
    </xf>
    <xf numFmtId="0" fontId="5" fillId="0" borderId="0" xfId="0" applyFont="1" applyFill="1" applyProtection="1">
      <protection locked="0"/>
    </xf>
    <xf numFmtId="0" fontId="15" fillId="0" borderId="0" xfId="3" quotePrefix="1" applyFont="1" applyFill="1" applyProtection="1">
      <protection locked="0"/>
    </xf>
    <xf numFmtId="0" fontId="5" fillId="0" borderId="36" xfId="0" applyFont="1" applyBorder="1" applyAlignment="1">
      <alignment horizontal="center" vertical="center" wrapText="1"/>
    </xf>
    <xf numFmtId="166" fontId="5" fillId="0" borderId="12" xfId="1" applyNumberFormat="1" applyFont="1" applyBorder="1" applyAlignment="1">
      <alignment horizontal="right"/>
    </xf>
    <xf numFmtId="167" fontId="5" fillId="0" borderId="3" xfId="7" applyNumberFormat="1" applyFont="1" applyBorder="1" applyAlignment="1">
      <alignment horizontal="right"/>
    </xf>
    <xf numFmtId="167" fontId="10" fillId="0" borderId="8" xfId="7" applyNumberFormat="1" applyFont="1" applyBorder="1" applyAlignment="1">
      <alignment horizontal="right"/>
    </xf>
    <xf numFmtId="164" fontId="9" fillId="0" borderId="11" xfId="1" applyNumberFormat="1" applyFont="1" applyFill="1" applyBorder="1" applyAlignment="1" applyProtection="1">
      <alignment horizontal="right"/>
      <protection locked="0"/>
    </xf>
    <xf numFmtId="167" fontId="5" fillId="2" borderId="1" xfId="7" applyNumberFormat="1" applyFont="1" applyFill="1" applyBorder="1"/>
    <xf numFmtId="167" fontId="5" fillId="2" borderId="3" xfId="7" applyNumberFormat="1" applyFont="1" applyFill="1" applyBorder="1"/>
    <xf numFmtId="167" fontId="5" fillId="2" borderId="28" xfId="7" applyNumberFormat="1" applyFont="1" applyFill="1" applyBorder="1"/>
    <xf numFmtId="167" fontId="10" fillId="0" borderId="15" xfId="7" applyNumberFormat="1" applyFont="1" applyFill="1" applyBorder="1"/>
    <xf numFmtId="167" fontId="10" fillId="0" borderId="24" xfId="7" applyNumberFormat="1" applyFont="1" applyFill="1" applyBorder="1"/>
    <xf numFmtId="167" fontId="10" fillId="0" borderId="29" xfId="7" applyNumberFormat="1" applyFont="1" applyFill="1" applyBorder="1"/>
    <xf numFmtId="167" fontId="10" fillId="0" borderId="15" xfId="7" applyNumberFormat="1" applyFont="1" applyFill="1" applyBorder="1" applyAlignment="1"/>
    <xf numFmtId="167" fontId="10" fillId="2" borderId="2" xfId="7" applyNumberFormat="1" applyFont="1" applyFill="1" applyBorder="1"/>
    <xf numFmtId="167" fontId="10" fillId="2" borderId="12" xfId="7" applyNumberFormat="1" applyFont="1" applyFill="1" applyBorder="1"/>
    <xf numFmtId="167" fontId="10" fillId="2" borderId="27" xfId="7" applyNumberFormat="1" applyFont="1" applyFill="1" applyBorder="1"/>
    <xf numFmtId="167" fontId="10" fillId="2" borderId="2" xfId="7" applyNumberFormat="1" applyFont="1" applyFill="1" applyBorder="1" applyAlignment="1"/>
    <xf numFmtId="167" fontId="5" fillId="2" borderId="1" xfId="7" applyNumberFormat="1" applyFont="1" applyFill="1" applyBorder="1" applyAlignment="1">
      <alignment horizontal="right"/>
    </xf>
    <xf numFmtId="49" fontId="9" fillId="0" borderId="7" xfId="0" applyNumberFormat="1" applyFont="1" applyFill="1" applyBorder="1" applyAlignment="1" applyProtection="1">
      <alignment horizontal="left"/>
      <protection locked="0"/>
    </xf>
    <xf numFmtId="169" fontId="9" fillId="0" borderId="11" xfId="1" applyNumberFormat="1"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164" fontId="9" fillId="0" borderId="0" xfId="1" applyNumberFormat="1" applyFont="1" applyFill="1" applyBorder="1" applyAlignment="1" applyProtection="1">
      <alignment horizontal="left"/>
      <protection locked="0"/>
    </xf>
    <xf numFmtId="164" fontId="9" fillId="0" borderId="11" xfId="1" applyNumberFormat="1" applyFont="1" applyFill="1" applyBorder="1" applyAlignment="1">
      <alignment horizontal="right" wrapText="1"/>
    </xf>
    <xf numFmtId="9" fontId="9" fillId="0" borderId="19" xfId="1" applyNumberFormat="1" applyFont="1" applyFill="1" applyBorder="1" applyAlignment="1">
      <alignment horizontal="right"/>
    </xf>
    <xf numFmtId="9" fontId="9" fillId="0" borderId="38" xfId="1" applyNumberFormat="1" applyFont="1" applyFill="1" applyBorder="1" applyAlignment="1">
      <alignment horizontal="right"/>
    </xf>
    <xf numFmtId="164" fontId="21" fillId="0" borderId="8" xfId="1" applyNumberFormat="1" applyFont="1" applyFill="1" applyBorder="1" applyAlignment="1">
      <alignment horizontal="right"/>
    </xf>
    <xf numFmtId="167" fontId="21" fillId="0" borderId="8" xfId="2" applyNumberFormat="1" applyFont="1" applyFill="1" applyBorder="1" applyAlignment="1">
      <alignment horizontal="right"/>
    </xf>
    <xf numFmtId="164" fontId="21" fillId="0" borderId="11" xfId="1" applyNumberFormat="1" applyFont="1" applyFill="1" applyBorder="1" applyAlignment="1">
      <alignment horizontal="right"/>
    </xf>
    <xf numFmtId="9" fontId="21" fillId="0" borderId="11" xfId="1" applyNumberFormat="1" applyFont="1" applyFill="1" applyBorder="1" applyAlignment="1" applyProtection="1">
      <alignment horizontal="right"/>
      <protection locked="0"/>
    </xf>
    <xf numFmtId="164" fontId="21" fillId="0" borderId="37" xfId="1" applyNumberFormat="1" applyFont="1" applyFill="1" applyBorder="1" applyAlignment="1">
      <alignment horizontal="right"/>
    </xf>
    <xf numFmtId="167" fontId="21" fillId="0" borderId="39" xfId="2" applyNumberFormat="1" applyFont="1" applyFill="1" applyBorder="1" applyAlignment="1">
      <alignment horizontal="right"/>
    </xf>
    <xf numFmtId="164" fontId="21" fillId="0" borderId="17" xfId="1" applyNumberFormat="1" applyFont="1" applyFill="1" applyBorder="1" applyAlignment="1">
      <alignment horizontal="right"/>
    </xf>
    <xf numFmtId="49" fontId="9" fillId="0" borderId="39" xfId="0" applyNumberFormat="1" applyFont="1" applyFill="1" applyBorder="1" applyAlignment="1" applyProtection="1">
      <alignment horizontal="left"/>
      <protection locked="0"/>
    </xf>
    <xf numFmtId="9" fontId="0" fillId="0" borderId="0" xfId="0" applyNumberFormat="1" applyAlignment="1">
      <alignment horizontal="left" vertical="top" wrapText="1"/>
    </xf>
    <xf numFmtId="164" fontId="8" fillId="0" borderId="28" xfId="1" applyNumberFormat="1" applyFont="1" applyFill="1" applyBorder="1"/>
    <xf numFmtId="9" fontId="9" fillId="0" borderId="40" xfId="0" applyNumberFormat="1" applyFont="1" applyFill="1" applyBorder="1" applyProtection="1">
      <protection locked="0"/>
    </xf>
    <xf numFmtId="1" fontId="10" fillId="0" borderId="8" xfId="1" applyNumberFormat="1" applyFont="1" applyBorder="1" applyAlignment="1">
      <alignment horizontal="right"/>
    </xf>
    <xf numFmtId="1" fontId="0" fillId="0" borderId="11" xfId="0" applyNumberFormat="1" applyFill="1" applyBorder="1"/>
    <xf numFmtId="1" fontId="10" fillId="0" borderId="15" xfId="1" applyNumberFormat="1" applyFont="1" applyBorder="1" applyAlignment="1">
      <alignment horizontal="right"/>
    </xf>
    <xf numFmtId="49" fontId="9" fillId="0" borderId="21" xfId="0" applyNumberFormat="1" applyFont="1" applyFill="1" applyBorder="1" applyAlignment="1" applyProtection="1">
      <alignment horizontal="left"/>
      <protection locked="0"/>
    </xf>
    <xf numFmtId="1" fontId="10" fillId="0" borderId="8" xfId="1" applyNumberFormat="1" applyFont="1" applyFill="1" applyBorder="1" applyAlignment="1">
      <alignment horizontal="right"/>
    </xf>
  </cellXfs>
  <cellStyles count="8">
    <cellStyle name="Comma" xfId="1" builtinId="3"/>
    <cellStyle name="Comma 2" xfId="5"/>
    <cellStyle name="Currency" xfId="7" builtinId="4"/>
    <cellStyle name="Currency 2" xfId="6"/>
    <cellStyle name="Heading 1" xfId="4" builtinId="16"/>
    <cellStyle name="Hyperlink" xfId="3" builtinId="8"/>
    <cellStyle name="Normal" xfId="0" builtinId="0"/>
    <cellStyle name="Percent" xfId="2" builtinId="5"/>
  </cellStyles>
  <dxfs count="123">
    <dxf>
      <font>
        <b val="0"/>
        <i val="0"/>
      </font>
    </dxf>
    <dxf>
      <font>
        <b val="0"/>
        <i val="0"/>
        <strike val="0"/>
      </font>
    </dxf>
    <dxf>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left style="thin">
          <color indexed="64"/>
        </left>
        <right/>
        <top/>
        <bottom/>
        <vertical/>
        <horizontal/>
      </border>
    </dxf>
    <dxf>
      <fill>
        <patternFill patternType="none">
          <fgColor indexed="64"/>
          <bgColor indexed="65"/>
        </patternFill>
      </fill>
      <border diagonalUp="0" diagonalDown="0">
        <left/>
        <right style="thin">
          <color indexed="64"/>
        </right>
        <top/>
        <bottom/>
        <vertical/>
        <horizontal/>
      </border>
    </dxf>
    <dxf>
      <border outline="0">
        <right style="thin">
          <color indexed="64"/>
        </right>
        <bottom style="thin">
          <color indexed="64"/>
        </bottom>
      </border>
    </dxf>
    <dxf>
      <numFmt numFmtId="1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numFmt numFmtId="1"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numFmt numFmtId="1"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numFmt numFmtId="1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numFmt numFmtId="1"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ill>
        <patternFill patternType="none">
          <fgColor indexed="64"/>
          <bgColor auto="1"/>
        </patternFill>
      </fill>
      <alignment horizontal="left" vertical="bottom" textRotation="0" wrapText="0" indent="0" justifyLastLine="0" shrinkToFit="0" readingOrder="0"/>
    </dxf>
    <dxf>
      <border outline="0">
        <top style="thin">
          <color rgb="FF000000"/>
        </top>
      </border>
    </dxf>
    <dxf>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auto="1"/>
        </top>
        <bottom style="thin">
          <color auto="1"/>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8"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protection locked="0" hidden="0"/>
    </dxf>
    <dxf>
      <font>
        <strike val="0"/>
        <outline val="0"/>
        <shadow val="0"/>
        <u val="none"/>
        <vertAlign val="baseline"/>
        <sz val="12"/>
        <color theme="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outline="0">
        <right style="thin">
          <color indexed="64"/>
        </right>
      </border>
    </dxf>
    <dxf>
      <font>
        <strike val="0"/>
        <outline val="0"/>
        <shadow val="0"/>
        <u val="none"/>
        <vertAlign val="baseline"/>
        <sz val="12"/>
        <color auto="1"/>
        <name val="Calibri"/>
        <scheme val="minor"/>
      </font>
      <numFmt numFmtId="30" formatCode="@"/>
      <fill>
        <patternFill patternType="none">
          <fgColor indexed="64"/>
          <bgColor auto="1"/>
        </patternFill>
      </fill>
      <alignment horizontal="left" textRotation="0" wrapText="0" indent="0" justifyLastLine="0" shrinkToFit="0" readingOrder="0"/>
      <border diagonalUp="0" diagonalDown="0" outline="0">
        <left/>
        <right/>
        <top style="thin">
          <color auto="1"/>
        </top>
        <bottom style="thin">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scheme val="minor"/>
      </font>
      <fill>
        <patternFill patternType="none">
          <fgColor rgb="FF000000"/>
          <bgColor auto="1"/>
        </patternFill>
      </fill>
      <alignment horizontal="center" textRotation="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sz val="12"/>
        <name val="Calibri"/>
        <scheme val="minor"/>
      </font>
      <numFmt numFmtId="167" formatCode="&quot;£&quot;#,##0"/>
    </dxf>
    <dxf>
      <font>
        <b val="0"/>
        <i val="0"/>
        <strike val="0"/>
        <condense val="0"/>
        <extend val="0"/>
        <outline val="0"/>
        <shadow val="0"/>
        <u val="none"/>
        <vertAlign val="baseline"/>
        <sz val="12"/>
        <color theme="1"/>
        <name val="Calibri"/>
        <scheme val="minor"/>
      </font>
      <numFmt numFmtId="1" formatCode="0"/>
      <alignment horizontal="right"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scheme val="minor"/>
      </font>
      <border diagonalUp="0" diagonalDown="0" outline="0">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sz val="12"/>
        <name val="Calibri"/>
        <scheme val="minor"/>
      </font>
    </dxf>
    <dxf>
      <border outline="0">
        <bottom style="thin">
          <color rgb="FF000000"/>
        </bottom>
      </border>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protection locked="0" hidden="0"/>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protection locked="0" hidden="0"/>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auto="1"/>
        </top>
        <bottom style="thin">
          <color auto="1"/>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7" formatCode="&quot;£&quot;#,##0"/>
      <fill>
        <patternFill patternType="none">
          <fgColor indexed="64"/>
          <bgColor auto="1"/>
        </patternFill>
      </fill>
      <alignment horizontal="right" vertical="bottom" textRotation="0" wrapText="0" indent="0" justifyLastLine="0" shrinkToFit="0" readingOrder="0"/>
      <border outline="0">
        <right style="thin">
          <color indexed="64"/>
        </right>
      </border>
    </dxf>
    <dxf>
      <font>
        <b val="0"/>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30" formatCode="@"/>
      <fill>
        <patternFill patternType="none">
          <fgColor indexed="64"/>
          <bgColor indexed="65"/>
        </patternFill>
      </fill>
      <border diagonalUp="0" diagonalDown="0" outline="0">
        <left/>
        <right style="thin">
          <color indexed="64"/>
        </right>
        <top/>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scheme val="minor"/>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numFmt numFmtId="167" formatCode="&quot;£&quot;#,##0"/>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outline="0">
        <left style="thick">
          <color indexed="64"/>
        </left>
        <right style="thin">
          <color indexed="64"/>
        </right>
        <top/>
        <bottom/>
      </border>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7" formatCode="&quot;£&quot;#,##0"/>
      <fill>
        <patternFill patternType="none">
          <fgColor indexed="64"/>
          <bgColor indexed="65"/>
        </patternFill>
      </fill>
      <border diagonalUp="0" diagonalDown="0" outline="0">
        <left style="thin">
          <color indexed="64"/>
        </left>
        <right style="thin">
          <color indexed="64"/>
        </right>
        <top style="thin">
          <color indexed="64"/>
        </top>
        <bottom/>
      </border>
    </dxf>
    <dxf>
      <border>
        <bottom style="thin">
          <color indexed="64"/>
        </bottom>
      </border>
    </dxf>
    <dxf>
      <font>
        <b val="0"/>
        <i val="0"/>
        <strike val="0"/>
        <condense val="0"/>
        <extend val="0"/>
        <outline val="0"/>
        <shadow val="0"/>
        <u val="none"/>
        <vertAlign val="baseline"/>
        <sz val="11"/>
        <color theme="1"/>
        <name val="Calibri"/>
        <scheme val="minor"/>
      </font>
      <border diagonalUp="0" diagonalDown="0">
        <left/>
        <right/>
        <top/>
        <bottom/>
        <vertical/>
        <horizontal/>
      </border>
    </dxf>
    <dxf>
      <font>
        <b val="0"/>
        <i val="0"/>
        <strike val="0"/>
        <condense val="0"/>
        <extend val="0"/>
        <outline val="0"/>
        <shadow val="0"/>
        <u val="none"/>
        <vertAlign val="baseline"/>
        <sz val="12"/>
        <color theme="1"/>
        <name val="Calibri"/>
        <scheme val="minor"/>
      </font>
      <numFmt numFmtId="10" formatCode="&quot;£&quot;#,##0;[Red]\-&quot;£&quot;#,##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2"/>
        <color theme="1"/>
        <name val="Calibri"/>
        <scheme val="minor"/>
      </font>
      <border diagonalUp="0" diagonalDown="0" outline="0">
        <left style="thin">
          <color indexed="64"/>
        </left>
        <right/>
        <top style="thin">
          <color auto="1"/>
        </top>
        <bottom style="thin">
          <color auto="1"/>
        </bottom>
      </border>
    </dxf>
    <dxf>
      <font>
        <b val="0"/>
        <i val="0"/>
        <strike val="0"/>
        <condense val="0"/>
        <extend val="0"/>
        <outline val="0"/>
        <shadow val="0"/>
        <u val="none"/>
        <vertAlign val="baseline"/>
        <sz val="12"/>
        <color theme="1"/>
        <name val="Calibri"/>
        <scheme val="minor"/>
      </font>
    </dxf>
    <dxf>
      <border outline="0">
        <top style="thin">
          <color indexed="64"/>
        </top>
      </border>
    </dxf>
    <dxf>
      <font>
        <strike val="0"/>
        <outline val="0"/>
        <shadow val="0"/>
        <u val="none"/>
        <vertAlign val="baseline"/>
        <sz val="12"/>
        <color theme="1"/>
        <name val="Calibri"/>
        <scheme val="minor"/>
      </font>
    </dxf>
    <dxf>
      <border outline="0">
        <bottom style="thin">
          <color indexed="64"/>
        </bottom>
      </border>
    </dxf>
    <dxf>
      <font>
        <strike val="0"/>
        <outline val="0"/>
        <shadow val="0"/>
        <u val="none"/>
        <vertAlign val="baseline"/>
        <sz val="12"/>
        <color theme="1"/>
        <name val="Calibri"/>
        <scheme val="minor"/>
      </font>
    </dxf>
    <dxf>
      <font>
        <strike val="0"/>
        <outline val="0"/>
        <shadow val="0"/>
        <u val="none"/>
        <vertAlign val="baseline"/>
        <sz val="12"/>
        <color auto="1"/>
        <name val="Calibri"/>
        <scheme val="minor"/>
      </font>
      <fill>
        <patternFill patternType="none">
          <fgColor indexed="64"/>
          <bgColor auto="1"/>
        </patternFill>
      </fill>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right style="thick">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bottom/>
        <vertical/>
        <horizontal/>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30" formatCode="@"/>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outline="0">
        <left/>
        <right style="thin">
          <color indexed="64"/>
        </right>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strike val="0"/>
        <outline val="0"/>
        <shadow val="0"/>
        <u val="none"/>
        <vertAlign val="baseline"/>
        <sz val="12"/>
        <color auto="1"/>
        <name val="Calibri"/>
        <scheme val="minor"/>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164" formatCode="#,##0_ ;\-#,##0\ "/>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strike val="0"/>
        <outline val="0"/>
        <shadow val="0"/>
        <u val="none"/>
        <vertAlign val="baseline"/>
        <sz val="12"/>
        <color auto="1"/>
        <name val="Calibri"/>
        <scheme val="minor"/>
      </font>
      <numFmt numFmtId="30" formatCode="@"/>
      <fill>
        <patternFill patternType="none">
          <fgColor indexed="64"/>
          <bgColor auto="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auto="1"/>
        <name val="Calibri"/>
        <scheme val="minor"/>
      </font>
      <fill>
        <patternFill patternType="none">
          <fgColor rgb="FF000000"/>
          <bgColor auto="1"/>
        </patternFill>
      </fill>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bottom" textRotation="0" wrapText="0" indent="0" justifyLastLine="0" shrinkToFit="0" readingOrder="0"/>
    </dxf>
    <dxf>
      <border outline="0">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fill>
        <patternFill patternType="none">
          <fgColor indexed="64"/>
          <bgColor auto="1"/>
        </patternFill>
      </fill>
      <border diagonalUp="0" diagonalDown="0">
        <left style="thin">
          <color indexed="64"/>
        </left>
        <right/>
        <top/>
        <bottom/>
      </border>
      <protection locked="0" hidden="0"/>
    </dxf>
    <dxf>
      <font>
        <strike val="0"/>
        <outline val="0"/>
        <shadow val="0"/>
        <u val="none"/>
        <vertAlign val="baseline"/>
        <sz val="12"/>
        <color auto="1"/>
        <name val="Calibri"/>
        <scheme val="minor"/>
      </font>
      <fill>
        <patternFill patternType="none">
          <fgColor indexed="64"/>
          <bgColor auto="1"/>
        </patternFill>
      </fill>
      <border diagonalUp="0" diagonalDown="0">
        <left style="thin">
          <color indexed="64"/>
        </left>
        <right/>
        <top/>
        <bottom/>
      </border>
      <protection locked="0" hidden="0"/>
    </dxf>
    <dxf>
      <font>
        <strike val="0"/>
        <outline val="0"/>
        <shadow val="0"/>
        <u val="none"/>
        <vertAlign val="baseline"/>
        <sz val="12"/>
        <color auto="1"/>
        <name val="Calibri"/>
        <scheme val="minor"/>
      </font>
      <fill>
        <patternFill patternType="none">
          <fgColor indexed="64"/>
          <bgColor auto="1"/>
        </patternFill>
      </fill>
      <protection locked="0" hidden="0"/>
    </dxf>
    <dxf>
      <font>
        <strike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protection locked="0" hidden="0"/>
    </dxf>
    <dxf>
      <font>
        <strike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protection locked="0" hidden="0"/>
    </dxf>
    <dxf>
      <font>
        <strike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protection locked="0" hidden="0"/>
    </dxf>
    <dxf>
      <font>
        <strike val="0"/>
        <outline val="0"/>
        <shadow val="0"/>
        <u val="none"/>
        <vertAlign val="baseline"/>
        <sz val="12"/>
        <color auto="1"/>
        <name val="Calibri"/>
        <scheme val="minor"/>
      </font>
      <numFmt numFmtId="164" formatCode="#,##0_ ;\-#,##0\ "/>
      <fill>
        <patternFill patternType="none">
          <fgColor indexed="64"/>
          <bgColor indexed="65"/>
        </patternFill>
      </fill>
      <border diagonalUp="0" diagonalDown="0">
        <left style="thin">
          <color indexed="64"/>
        </left>
        <right/>
        <top/>
        <bottom/>
        <vertical/>
        <horizontal/>
      </border>
      <protection locked="0" hidden="0"/>
    </dxf>
    <dxf>
      <font>
        <strike val="0"/>
        <outline val="0"/>
        <shadow val="0"/>
        <u val="none"/>
        <vertAlign val="baseline"/>
        <sz val="12"/>
        <color auto="1"/>
        <name val="Calibri"/>
        <scheme val="minor"/>
      </font>
      <fill>
        <patternFill patternType="none">
          <fgColor indexed="64"/>
          <bgColor auto="1"/>
        </patternFill>
      </fill>
      <border>
        <right style="thin">
          <color indexed="64"/>
        </right>
      </border>
      <protection locked="0" hidden="0"/>
    </dxf>
    <dxf>
      <font>
        <strike val="0"/>
        <outline val="0"/>
        <shadow val="0"/>
        <u val="none"/>
        <vertAlign val="baseline"/>
        <sz val="12"/>
        <color auto="1"/>
        <name val="Calibri"/>
        <scheme val="minor"/>
      </font>
      <numFmt numFmtId="169" formatCode="_-[$£-809]* #,##0_-;\-[$£-809]* #,##0_-;_-[$£-809]* &quot;-&quot;??_-;_-@_-"/>
      <fill>
        <patternFill patternType="none">
          <fgColor indexed="64"/>
          <bgColor auto="1"/>
        </patternFill>
      </fill>
      <border diagonalUp="0" diagonalDown="0">
        <left style="thin">
          <color indexed="64"/>
        </left>
        <right/>
        <top/>
        <bottom/>
      </border>
      <protection locked="0" hidden="0"/>
    </dxf>
    <dxf>
      <font>
        <strike val="0"/>
        <outline val="0"/>
        <shadow val="0"/>
        <u val="none"/>
        <vertAlign val="baseline"/>
        <sz val="12"/>
        <color auto="1"/>
        <name val="Calibri"/>
        <scheme val="minor"/>
      </font>
      <numFmt numFmtId="30" formatCode="@"/>
      <fill>
        <patternFill patternType="none">
          <fgColor indexed="64"/>
          <bgColor auto="1"/>
        </patternFill>
      </fill>
      <border>
        <right style="thin">
          <color indexed="64"/>
        </right>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fill>
        <patternFill patternType="none">
          <fgColor indexed="64"/>
          <bgColor auto="1"/>
        </patternFill>
      </fill>
      <protection locked="0" hidden="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border diagonalUp="0" diagonalDown="0" outline="0">
        <left/>
        <right style="thin">
          <color indexed="64"/>
        </right>
        <top/>
        <bottom/>
      </border>
      <protection locked="0" hidden="0"/>
    </dxf>
    <dxf>
      <font>
        <b val="0"/>
        <i val="0"/>
        <strike val="0"/>
        <condense val="0"/>
        <extend val="0"/>
        <outline val="0"/>
        <shadow val="0"/>
        <u/>
        <vertAlign val="baseline"/>
        <sz val="12"/>
        <color theme="10"/>
        <name val="Calibri"/>
        <scheme val="minor"/>
      </font>
      <fill>
        <patternFill patternType="none">
          <fgColor indexed="64"/>
          <bgColor auto="1"/>
        </patternFill>
      </fill>
      <protection locked="0" hidden="0"/>
    </dxf>
    <dxf>
      <font>
        <b/>
        <i val="0"/>
        <strike val="0"/>
        <condense val="0"/>
        <extend val="0"/>
        <outline val="0"/>
        <shadow val="0"/>
        <u val="none"/>
        <vertAlign val="baseline"/>
        <sz val="12"/>
        <color theme="1"/>
        <name val="Calibri"/>
        <scheme val="minor"/>
      </font>
      <protection locked="0" hidden="0"/>
    </dxf>
  </dxfs>
  <tableStyles count="0" defaultTableStyle="TableStyleMedium2" defaultPivotStyle="PivotStyleLight16"/>
  <colors>
    <mruColors>
      <color rgb="FFB4A9D4"/>
      <color rgb="FFE7B8D2"/>
      <color rgb="FF201751"/>
      <color rgb="FFE6007E"/>
      <color rgb="FF756A93"/>
      <color rgb="FF251B5B"/>
      <color rgb="FFCC99FF"/>
      <color rgb="FF990000"/>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38100</xdr:colOff>
      <xdr:row>29</xdr:row>
      <xdr:rowOff>28786</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44600"/>
          <a:ext cx="10750550" cy="4816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12775</xdr:colOff>
      <xdr:row>28</xdr:row>
      <xdr:rowOff>101600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22400"/>
          <a:ext cx="10115625" cy="476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48629\AppData\Local\Microsoft\Windows\INetCache\Content.Outlook\VFWMQ5WR\210630%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DIR"/>
      <sheetName val="RDIR(STATS)"/>
      <sheetName val="RDIR(VSTATS)"/>
      <sheetName val="APPEAL"/>
      <sheetName val="APPEAL(STATS)"/>
      <sheetName val="Sheet1"/>
      <sheetName val="DATA"/>
      <sheetName val="DATAYRS"/>
    </sheetNames>
    <sheetDataSet>
      <sheetData sheetId="0"/>
      <sheetData sheetId="1"/>
      <sheetData sheetId="2"/>
      <sheetData sheetId="3"/>
      <sheetData sheetId="4"/>
      <sheetData sheetId="5"/>
      <sheetData sheetId="6">
        <row r="2">
          <cell r="D2" t="str">
            <v>BSG</v>
          </cell>
          <cell r="K2">
            <v>43459</v>
          </cell>
          <cell r="W2" t="str">
            <v>Allowed</v>
          </cell>
        </row>
        <row r="3">
          <cell r="D3" t="str">
            <v>BSF</v>
          </cell>
          <cell r="K3">
            <v>43460</v>
          </cell>
          <cell r="W3" t="str">
            <v>Partially Allowed</v>
          </cell>
        </row>
        <row r="4">
          <cell r="D4" t="str">
            <v>FSP</v>
          </cell>
          <cell r="K4">
            <v>43466</v>
          </cell>
          <cell r="W4" t="str">
            <v>Disallowed</v>
          </cell>
        </row>
        <row r="5">
          <cell r="D5" t="str">
            <v>YCG</v>
          </cell>
          <cell r="K5">
            <v>43467</v>
          </cell>
          <cell r="W5" t="str">
            <v>Withdrawn</v>
          </cell>
        </row>
        <row r="6">
          <cell r="D6" t="str">
            <v>JSP</v>
          </cell>
          <cell r="K6">
            <v>43574</v>
          </cell>
          <cell r="W6" t="str">
            <v>Invalid</v>
          </cell>
        </row>
        <row r="7">
          <cell r="D7" t="str">
            <v>CWHA</v>
          </cell>
          <cell r="K7">
            <v>43577</v>
          </cell>
        </row>
        <row r="8">
          <cell r="D8" t="str">
            <v>SCP</v>
          </cell>
          <cell r="K8">
            <v>43591</v>
          </cell>
        </row>
        <row r="9">
          <cell r="K9">
            <v>43612</v>
          </cell>
        </row>
        <row r="10">
          <cell r="K10">
            <v>43798</v>
          </cell>
        </row>
        <row r="11">
          <cell r="K11">
            <v>43824</v>
          </cell>
        </row>
        <row r="12">
          <cell r="K12">
            <v>43825</v>
          </cell>
        </row>
        <row r="13">
          <cell r="K13">
            <v>43831</v>
          </cell>
        </row>
        <row r="14">
          <cell r="K14">
            <v>43832</v>
          </cell>
        </row>
        <row r="15">
          <cell r="K15">
            <v>43931</v>
          </cell>
        </row>
        <row r="16">
          <cell r="K16">
            <v>43934</v>
          </cell>
        </row>
        <row r="17">
          <cell r="K17">
            <v>43959</v>
          </cell>
        </row>
        <row r="18">
          <cell r="K18">
            <v>43976</v>
          </cell>
        </row>
        <row r="19">
          <cell r="K19">
            <v>44162</v>
          </cell>
        </row>
        <row r="20">
          <cell r="K20">
            <v>44190</v>
          </cell>
        </row>
        <row r="21">
          <cell r="K21">
            <v>44193</v>
          </cell>
        </row>
        <row r="22">
          <cell r="K22">
            <v>44197</v>
          </cell>
        </row>
        <row r="23">
          <cell r="K23">
            <v>44200</v>
          </cell>
        </row>
        <row r="24">
          <cell r="K24">
            <v>44288</v>
          </cell>
        </row>
        <row r="25">
          <cell r="K25">
            <v>44291</v>
          </cell>
        </row>
        <row r="26">
          <cell r="K26">
            <v>44319</v>
          </cell>
        </row>
        <row r="27">
          <cell r="K27">
            <v>44347</v>
          </cell>
        </row>
        <row r="28">
          <cell r="K28">
            <v>44526</v>
          </cell>
        </row>
        <row r="29">
          <cell r="K29">
            <v>44557</v>
          </cell>
        </row>
        <row r="30">
          <cell r="K30">
            <v>44558</v>
          </cell>
        </row>
        <row r="31">
          <cell r="K31">
            <v>44564</v>
          </cell>
        </row>
        <row r="32">
          <cell r="K32">
            <v>44565</v>
          </cell>
        </row>
      </sheetData>
      <sheetData sheetId="7"/>
    </sheetDataSet>
  </externalBook>
</externalLink>
</file>

<file path=xl/tables/table1.xml><?xml version="1.0" encoding="utf-8"?>
<table xmlns="http://schemas.openxmlformats.org/spreadsheetml/2006/main" id="9" name="TableofContents" displayName="TableofContents" ref="A3:B17" totalsRowShown="0" headerRowDxfId="122">
  <autoFilter ref="A3:B17">
    <filterColumn colId="0" hiddenButton="1"/>
    <filterColumn colId="1" hiddenButton="1"/>
  </autoFilter>
  <tableColumns count="2">
    <tableColumn id="1" name="Table or Chart Number" dataDxfId="121" dataCellStyle="Hyperlink"/>
    <tableColumn id="2" name="Table or Chart Description " dataDxfId="120"/>
  </tableColumns>
  <tableStyleInfo name="TableStyleLight1" showFirstColumn="0" showLastColumn="0" showRowStripes="0" showColumnStripes="0"/>
</table>
</file>

<file path=xl/tables/table10.xml><?xml version="1.0" encoding="utf-8"?>
<table xmlns="http://schemas.openxmlformats.org/spreadsheetml/2006/main" id="18" name="Table8a" displayName="Table8a" ref="A6:H35" totalsRowShown="0" headerRowDxfId="34" dataDxfId="32" headerRowBorderDxfId="33" tableBorderDxfId="31">
  <autoFilter ref="A6:H3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onth [note 1]" dataDxfId="30"/>
    <tableColumn id="2" name="Number of _x000a_re-determinations _x000a_received _x000a_[note 2]" dataDxfId="29" dataCellStyle="Comma"/>
    <tableColumn id="3" name="Re-determinations as a percentage of decisions processed _x000a_" dataDxfId="28"/>
    <tableColumn id="4" name="Re-determinations completed _x000a_[note 3]" dataDxfId="27" dataCellStyle="Comma"/>
    <tableColumn id="5" name="Completed _x000a_re-determinations _x000a_which are disallowed _x000a_[note 3]" dataDxfId="26" dataCellStyle="Comma"/>
    <tableColumn id="6" name="Completed _x000a_re-determinations _x000a_which are allowed or partially allowed _x000a_[note 3]" dataDxfId="25" dataCellStyle="Comma"/>
    <tableColumn id="7" name="Completed _x000a_re-determinations _x000a_which are withdrawn _x000a_[note 3]" dataDxfId="24" dataCellStyle="Comma"/>
    <tableColumn id="12" name="Median response time in working days _x000a_[note 3][note 4][note 5]" dataDxfId="23" dataCellStyle="Comma"/>
  </tableColumns>
  <tableStyleInfo name="TableStyleLight1" showFirstColumn="0" showLastColumn="0" showRowStripes="1" showColumnStripes="0"/>
</table>
</file>

<file path=xl/tables/table11.xml><?xml version="1.0" encoding="utf-8"?>
<table xmlns="http://schemas.openxmlformats.org/spreadsheetml/2006/main" id="12" name="Table8b" displayName="Table8b" ref="A6:E35" totalsRowShown="0" headerRowDxfId="22" dataDxfId="20" headerRowBorderDxfId="21" tableBorderDxfId="19">
  <autoFilter ref="A6:E35">
    <filterColumn colId="0" hiddenButton="1"/>
    <filterColumn colId="1" hiddenButton="1"/>
    <filterColumn colId="2" hiddenButton="1"/>
    <filterColumn colId="3" hiddenButton="1"/>
    <filterColumn colId="4" hiddenButton="1"/>
  </autoFilter>
  <tableColumns count="5">
    <tableColumn id="1" name="Month" dataDxfId="18"/>
    <tableColumn id="2" name="Number of _x000a_appeals_x000a_received _x000a_[note 1]" dataDxfId="17"/>
    <tableColumn id="3" name="Number of appeals completed _x000a_[note 1][note 2]"/>
    <tableColumn id="4" name="Completed appeals upheld _x000a_[note 3]" dataDxfId="16" dataCellStyle="Comma"/>
    <tableColumn id="5" name="Completed appeals not upheld _x000a_[note 3]" dataDxfId="15" dataCellStyle="Comma"/>
  </tableColumns>
  <tableStyleInfo name="TableStyleLight1" showFirstColumn="0" showLastColumn="0" showRowStripes="1" showColumnStripes="0"/>
</table>
</file>

<file path=xl/tables/table12.xml><?xml version="1.0" encoding="utf-8"?>
<table xmlns="http://schemas.openxmlformats.org/spreadsheetml/2006/main" id="5" name="FullTable3" displayName="FullTable3" ref="A1:F145" totalsRowShown="0" headerRowDxfId="14" dataDxfId="13" tableBorderDxfId="12">
  <autoFilter ref="A1:F145">
    <filterColumn colId="0" hiddenButton="1"/>
    <filterColumn colId="1" hiddenButton="1"/>
    <filterColumn colId="2" hiddenButton="1"/>
    <filterColumn colId="3" hiddenButton="1"/>
    <filterColumn colId="4" hiddenButton="1"/>
    <filterColumn colId="5" hiddenButton="1"/>
  </autoFilter>
  <tableColumns count="6">
    <tableColumn id="1" name="Local Authority and Time Period_x000a_" dataDxfId="11"/>
    <tableColumn id="2" name="Total applications received _x000a_" dataDxfId="10"/>
    <tableColumn id="3" name="Percentage of total applications received " dataDxfId="9"/>
    <tableColumn id="4" name="Total applications processed " dataDxfId="8"/>
    <tableColumn id="5" name="Authorised applications " dataDxfId="7"/>
    <tableColumn id="6" name="Percentage of processed applications authorised" dataDxfId="6"/>
  </tableColumns>
  <tableStyleInfo name="TableStyleLight1" showFirstColumn="0" showLastColumn="0" showRowStripes="0" showColumnStripes="0"/>
</table>
</file>

<file path=xl/tables/table13.xml><?xml version="1.0" encoding="utf-8"?>
<table xmlns="http://schemas.openxmlformats.org/spreadsheetml/2006/main" id="6" name="FullTable7" displayName="FullTable7" ref="A1:C145" totalsRowShown="0" tableBorderDxfId="5">
  <autoFilter ref="A1:C145">
    <filterColumn colId="0" hiddenButton="1"/>
    <filterColumn colId="1" hiddenButton="1"/>
    <filterColumn colId="2" hiddenButton="1"/>
  </autoFilter>
  <tableColumns count="3">
    <tableColumn id="1" name="Local Authority and Time Period_x000a_" dataDxfId="4"/>
    <tableColumn id="2" name="Value of Payments awarded" dataDxfId="3"/>
    <tableColumn id="3" name="Number of Payments" dataDxfId="2"/>
  </tableColumns>
  <tableStyleInfo name="TableStyleLight1" showFirstColumn="0" showLastColumn="0" showRowStripes="0" showColumnStripes="0"/>
</table>
</file>

<file path=xl/tables/table2.xml><?xml version="1.0" encoding="utf-8"?>
<table xmlns="http://schemas.openxmlformats.org/spreadsheetml/2006/main" id="1" name="Table1" displayName="Table1" ref="A6:J38" totalsRowShown="0" headerRowDxfId="119" dataDxfId="117" headerRowBorderDxfId="118" tableBorderDxfId="116">
  <autoFilter ref="A6: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onth_x000a_ [note 1][note 2][note 3][note 4]" dataDxfId="115"/>
    <tableColumn id="2" name="Total applications received _x000a_" dataDxfId="114" dataCellStyle="Comma"/>
    <tableColumn id="3" name="Percentage of total applications received " dataDxfId="113"/>
    <tableColumn id="4" name="Total applications processed  [note 5]" dataDxfId="112" dataCellStyle="Comma"/>
    <tableColumn id="5" name="Authorised applications" dataDxfId="111" dataCellStyle="Comma"/>
    <tableColumn id="6" name="Denied Applications " dataDxfId="110" dataCellStyle="Comma"/>
    <tableColumn id="7" name="Withdrawn applications " dataDxfId="109" dataCellStyle="Comma"/>
    <tableColumn id="8" name="Percentage of processed applications authorised" dataDxfId="108"/>
    <tableColumn id="9" name="Percentage of processed applications denied" dataDxfId="107"/>
    <tableColumn id="10" name="Percentage of processed applications withdrawn " dataDxfId="106"/>
  </tableColumns>
  <tableStyleInfo name="TableStyleLight1" showFirstColumn="0" showLastColumn="0" showRowStripes="1" showColumnStripes="0"/>
</table>
</file>

<file path=xl/tables/table3.xml><?xml version="1.0" encoding="utf-8"?>
<table xmlns="http://schemas.openxmlformats.org/spreadsheetml/2006/main" id="2" name="Table2" displayName="Table2" ref="A6:H35" totalsRowShown="0" headerRowDxfId="105" headerRowBorderDxfId="104" tableBorderDxfId="103">
  <autoFilter ref="A6:H3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pplications Received by month _x000a_[note 1]" dataDxfId="102"/>
    <tableColumn id="2" name="Total" dataDxfId="101" dataCellStyle="Comma"/>
    <tableColumn id="3" name="Online Applications " dataDxfId="100" dataCellStyle="Comma"/>
    <tableColumn id="4" name="Paper Applications _x000a_" dataDxfId="99" dataCellStyle="Comma"/>
    <tableColumn id="5" name="Phone Applications _x000a_[note 2]" dataDxfId="98" dataCellStyle="Comma"/>
    <tableColumn id="8" name="Percentage of Online Applications " dataDxfId="97"/>
    <tableColumn id="9" name="Percentage of Paper Applications" dataDxfId="96"/>
    <tableColumn id="6" name="Percentage of Phone Applications" dataDxfId="95"/>
  </tableColumns>
  <tableStyleInfo name="TableStyleLight1" showFirstColumn="0" showLastColumn="0" showRowStripes="1" showColumnStripes="0"/>
</table>
</file>

<file path=xl/tables/table4.xml><?xml version="1.0" encoding="utf-8"?>
<table xmlns="http://schemas.openxmlformats.org/spreadsheetml/2006/main" id="3" name="Table3" displayName="Table3" ref="A8:F44" totalsRowShown="0" headerRowDxfId="94" dataDxfId="92" headerRowBorderDxfId="93" tableBorderDxfId="91">
  <autoFilter ref="A8:F44">
    <filterColumn colId="0" hiddenButton="1"/>
    <filterColumn colId="1" hiddenButton="1"/>
    <filterColumn colId="2" hiddenButton="1"/>
    <filterColumn colId="3" hiddenButton="1"/>
    <filterColumn colId="4" hiddenButton="1"/>
    <filterColumn colId="5" hiddenButton="1"/>
  </autoFilter>
  <tableColumns count="6">
    <tableColumn id="1" name="Local Authority _x000a_[note 1][note 2][note 3]" dataDxfId="90"/>
    <tableColumn id="2" name="Total applications received _x000a_" dataDxfId="89" dataCellStyle="Comma"/>
    <tableColumn id="3" name="Percentage of total applications received " dataDxfId="88"/>
    <tableColumn id="4" name="Total applications processed _x000a_[note 4]" dataDxfId="87" dataCellStyle="Comma"/>
    <tableColumn id="5" name="Authorised applications " dataDxfId="86" dataCellStyle="Comma"/>
    <tableColumn id="8" name="Percentage of processed applications authorised" dataDxfId="85"/>
  </tableColumns>
  <tableStyleInfo name="TableStyleLight1" showFirstColumn="0" showLastColumn="0" showRowStripes="1" showColumnStripes="0"/>
</table>
</file>

<file path=xl/tables/table5.xml><?xml version="1.0" encoding="utf-8"?>
<table xmlns="http://schemas.openxmlformats.org/spreadsheetml/2006/main" id="17" name="Table4" displayName="Table4" ref="A6:M36" totalsRowShown="0" headerRowDxfId="84" dataDxfId="82" headerRowBorderDxfId="83" tableBorderDxfId="81">
  <tableColumns count="13">
    <tableColumn id="1" name="Processing Time by Month _x000a_[note 1][note 2]" dataDxfId="80"/>
    <tableColumn id="2" name="Total applications excluding _x000a_re-determinations_x000a_" dataDxfId="79" dataCellStyle="Comma"/>
    <tableColumn id="3" name="Applications processed in the same day" dataDxfId="78" dataCellStyle="Comma"/>
    <tableColumn id="4" name="Applications processed in _x000a_1-5 days" dataDxfId="77" dataCellStyle="Comma"/>
    <tableColumn id="5" name="Applications processed in _x000a_6-10 days" dataDxfId="76" dataCellStyle="Comma"/>
    <tableColumn id="6" name="Applications processed in _x000a_11-15 days" dataDxfId="75" dataCellStyle="Comma"/>
    <tableColumn id="7" name="Applications processed in _x000a_16-20 days" dataDxfId="74" dataCellStyle="Comma"/>
    <tableColumn id="8" name="Applications processed in _x000a_21 or more days" dataDxfId="73" dataCellStyle="Comma"/>
    <tableColumn id="9" name="Applications processed within 10 days" dataDxfId="72" dataCellStyle="Comma"/>
    <tableColumn id="11" name="Applications processed within 15 days" dataDxfId="71" dataCellStyle="Comma"/>
    <tableColumn id="12" name="Applications processed in _x000a_16 days or more _x000a_[note 3]" dataDxfId="70" dataCellStyle="Comma"/>
    <tableColumn id="16" name="Percentage of applications processed within 10 days _x000a_[note 3]" dataDxfId="69" dataCellStyle="Comma">
      <calculatedColumnFormula>Table4[[#This Row],[Applications processed within 10 days]]/Table4[[#This Row],[Total applications excluding 
re-determinations
]]</calculatedColumnFormula>
    </tableColumn>
    <tableColumn id="13" name="Average Processing Time _x000a_[note 4]" dataDxfId="68"/>
  </tableColumns>
  <tableStyleInfo name="TableStyleLight1" showFirstColumn="0" showLastColumn="0" showRowStripes="1" showColumnStripes="0"/>
</table>
</file>

<file path=xl/tables/table6.xml><?xml version="1.0" encoding="utf-8"?>
<table xmlns="http://schemas.openxmlformats.org/spreadsheetml/2006/main" id="10" name="Table5a" displayName="Table5a" ref="A6:C9" totalsRowShown="0" headerRowDxfId="67" dataDxfId="65" headerRowBorderDxfId="66" tableBorderDxfId="64">
  <autoFilter ref="A6:C9">
    <filterColumn colId="0" hiddenButton="1"/>
    <filterColumn colId="1" hiddenButton="1"/>
    <filterColumn colId="2" hiddenButton="1"/>
  </autoFilter>
  <tableColumns count="3">
    <tableColumn id="1" name="Age of Deceased" dataDxfId="63"/>
    <tableColumn id="2" name="Number of payments by date of issue _x000a_[note 1]_x000a_" dataDxfId="62"/>
    <tableColumn id="3" name="Total value of payments by date of issue _x000a_[note 1]_x000a_" dataDxfId="61"/>
  </tableColumns>
  <tableStyleInfo name="TableStyleLight1" showFirstColumn="0" showLastColumn="0" showRowStripes="1" showColumnStripes="0"/>
</table>
</file>

<file path=xl/tables/table7.xml><?xml version="1.0" encoding="utf-8"?>
<table xmlns="http://schemas.openxmlformats.org/spreadsheetml/2006/main" id="7" name="Table5b" displayName="Table5b" ref="A6:G9" totalsRowShown="0" headerRowDxfId="60" headerRowBorderDxfId="59">
  <autoFilter ref="A6:G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Age of Deceased"/>
    <tableColumn id="2" name="Payment by date of issue _x000a_Mean average value issued in Financial Year_x000a_2019_2020 _x000a_[note 1][note 2][note 3]_x000a_[note 4][note 7]" dataDxfId="58" dataCellStyle="Currency"/>
    <tableColumn id="3" name="Payment by date of issue _x000a_Mean average value issued in Financial Year_x000a_2020_2021 _x000a_[note 1][note 2][note 3]_x000a_[note 4][note 8]" dataDxfId="57" dataCellStyle="Currency"/>
    <tableColumn id="4" name="Payment by date of issue _x000a_Mean average value issued in Financial Year_x000a_2021_2022 _x000a_[note 1][note 2][note 3]_x000a_[note 4][note 9]" dataDxfId="56" dataCellStyle="Currency"/>
    <tableColumn id="5" name="Payment by date of application_x000a_Mean average value for application received in Financial Year_x000a_2019_2020 _x000a_[note 1][note 2][note 5]_x000a_[note 6][note 7]" dataDxfId="55" dataCellStyle="Currency"/>
    <tableColumn id="7" name="Payment by date of application _x000a_Mean average value for application received in Financial Year_x000a_2020_2021 _x000a_[note 1][note 2][note 5]_x000a_[note 6][note 8]" dataDxfId="54" dataCellStyle="Currency"/>
    <tableColumn id="6" name="Payment by date of application _x000a_Mean average value for application received in Financial Year_x000a_2021_2022 _x000a_[note 1][note 2][note 5]_x000a_[note 6][note 9]" dataDxfId="53"/>
  </tableColumns>
  <tableStyleInfo showFirstColumn="0" showLastColumn="0" showRowStripes="1" showColumnStripes="0"/>
</table>
</file>

<file path=xl/tables/table8.xml><?xml version="1.0" encoding="utf-8"?>
<table xmlns="http://schemas.openxmlformats.org/spreadsheetml/2006/main" id="8" name="Table6" displayName="Table6" ref="A6:G38" totalsRowShown="0" headerRowDxfId="52" dataDxfId="50" headerRowBorderDxfId="51" tableBorderDxfId="49">
  <autoFilter ref="A6:G3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onth of payment issue_x000a_[note 1][note 2][note 3]_x000a_[note 4][note 5]" dataDxfId="48"/>
    <tableColumn id="2" name="Total payments issued" dataDxfId="47" dataCellStyle="Comma"/>
    <tableColumn id="3" name="Total Value of payments" dataDxfId="46" dataCellStyle="Percent"/>
    <tableColumn id="4" name="Payments issued to client" dataDxfId="45" dataCellStyle="Comma"/>
    <tableColumn id="5" name="Paid to funeral director" dataDxfId="44" dataCellStyle="Comma"/>
    <tableColumn id="6" name="Percentage paid to client" dataDxfId="43" dataCellStyle="Comma"/>
    <tableColumn id="7" name="Percentage paid to funeral director" dataDxfId="42" dataCellStyle="Comma"/>
  </tableColumns>
  <tableStyleInfo name="TableStyleLight1" showFirstColumn="0" showLastColumn="0" showRowStripes="1" showColumnStripes="0"/>
</table>
</file>

<file path=xl/tables/table9.xml><?xml version="1.0" encoding="utf-8"?>
<table xmlns="http://schemas.openxmlformats.org/spreadsheetml/2006/main" id="4" name="Table7" displayName="Table7" ref="A8:C44" totalsRowShown="0" headerRowDxfId="41" dataDxfId="39" headerRowBorderDxfId="40" tableBorderDxfId="38">
  <autoFilter ref="A8:C44">
    <filterColumn colId="0" hiddenButton="1"/>
    <filterColumn colId="1" hiddenButton="1"/>
    <filterColumn colId="2" hiddenButton="1"/>
  </autoFilter>
  <tableColumns count="3">
    <tableColumn id="1" name="Local Authority _x000a_[note 1][note 2][note 3]" dataDxfId="37"/>
    <tableColumn id="2" name="Number of payments _x000a_[note 4][note 5]" dataDxfId="36" dataCellStyle="Currency">
      <calculatedColumnFormula>VLOOKUP($A9, 'Table 7 - Full data'!$A$1:$C$145, 3, FALSE)</calculatedColumnFormula>
    </tableColumn>
    <tableColumn id="3" name="Value of payments _x000a_[note 4][note 5]" dataDxfId="35">
      <calculatedColumnFormula>VLOOKUP($A9, 'Table 7 - Full data'!$A$1:$C$145, 2, FALSE)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8"/>
  <sheetViews>
    <sheetView tabSelected="1" zoomScaleNormal="100" workbookViewId="0"/>
  </sheetViews>
  <sheetFormatPr defaultColWidth="8.7265625" defaultRowHeight="14.5" x14ac:dyDescent="0.35"/>
  <cols>
    <col min="1" max="1" width="24.26953125" style="85" customWidth="1"/>
    <col min="2" max="2" width="74.54296875" style="85" customWidth="1"/>
    <col min="3" max="16384" width="8.7265625" style="85"/>
  </cols>
  <sheetData>
    <row r="1" spans="1:14" ht="21" x14ac:dyDescent="0.5">
      <c r="A1" s="84" t="s">
        <v>373</v>
      </c>
    </row>
    <row r="2" spans="1:14" ht="21" x14ac:dyDescent="0.5">
      <c r="A2" s="84" t="s">
        <v>342</v>
      </c>
    </row>
    <row r="3" spans="1:14" ht="15.5" x14ac:dyDescent="0.35">
      <c r="A3" s="230" t="s">
        <v>343</v>
      </c>
      <c r="B3" s="228" t="s">
        <v>344</v>
      </c>
    </row>
    <row r="4" spans="1:14" ht="15.5" x14ac:dyDescent="0.35">
      <c r="A4" s="143" t="s">
        <v>0</v>
      </c>
      <c r="B4" s="142" t="s">
        <v>211</v>
      </c>
      <c r="C4" s="94"/>
      <c r="D4" s="94"/>
      <c r="E4" s="94"/>
      <c r="F4" s="94"/>
      <c r="G4" s="94"/>
      <c r="H4" s="94"/>
      <c r="I4" s="94"/>
      <c r="J4" s="94"/>
      <c r="K4" s="94"/>
      <c r="N4" s="113"/>
    </row>
    <row r="5" spans="1:14" ht="15.5" x14ac:dyDescent="0.35">
      <c r="A5" s="143" t="s">
        <v>1</v>
      </c>
      <c r="B5" s="142" t="s">
        <v>212</v>
      </c>
      <c r="C5" s="94"/>
      <c r="D5" s="94"/>
      <c r="E5" s="94"/>
      <c r="F5" s="94"/>
      <c r="G5" s="94"/>
      <c r="H5" s="94"/>
      <c r="I5" s="94"/>
      <c r="J5" s="94"/>
      <c r="K5" s="94"/>
    </row>
    <row r="6" spans="1:14" ht="15.5" x14ac:dyDescent="0.35">
      <c r="A6" s="143" t="s">
        <v>2</v>
      </c>
      <c r="B6" s="142" t="s">
        <v>213</v>
      </c>
      <c r="C6" s="94"/>
      <c r="D6" s="94"/>
      <c r="E6" s="94"/>
      <c r="F6" s="94"/>
      <c r="G6" s="94"/>
      <c r="H6" s="94"/>
      <c r="I6" s="94"/>
      <c r="J6" s="94"/>
      <c r="K6" s="94"/>
    </row>
    <row r="7" spans="1:14" ht="15.5" x14ac:dyDescent="0.35">
      <c r="A7" s="143" t="s">
        <v>3</v>
      </c>
      <c r="B7" s="142" t="s">
        <v>214</v>
      </c>
      <c r="C7" s="94"/>
      <c r="D7" s="94"/>
      <c r="E7" s="94"/>
      <c r="F7" s="94"/>
      <c r="G7" s="94"/>
      <c r="H7" s="94"/>
      <c r="I7" s="94"/>
      <c r="J7" s="94"/>
      <c r="K7" s="94"/>
    </row>
    <row r="8" spans="1:14" ht="15.5" x14ac:dyDescent="0.35">
      <c r="A8" s="143" t="s">
        <v>321</v>
      </c>
      <c r="B8" s="142" t="s">
        <v>215</v>
      </c>
      <c r="C8" s="94"/>
      <c r="D8" s="94"/>
      <c r="E8" s="94"/>
      <c r="F8" s="94"/>
      <c r="G8" s="94"/>
      <c r="H8" s="94"/>
      <c r="I8" s="94"/>
      <c r="J8" s="94"/>
      <c r="K8" s="94"/>
    </row>
    <row r="9" spans="1:14" ht="15.5" x14ac:dyDescent="0.35">
      <c r="A9" s="143" t="s">
        <v>322</v>
      </c>
      <c r="B9" s="142" t="s">
        <v>323</v>
      </c>
      <c r="C9" s="94"/>
      <c r="D9" s="94"/>
      <c r="E9" s="94"/>
      <c r="F9" s="94"/>
      <c r="G9" s="94"/>
      <c r="H9" s="94"/>
      <c r="I9" s="94"/>
      <c r="J9" s="94"/>
      <c r="K9" s="94"/>
    </row>
    <row r="10" spans="1:14" ht="15.5" x14ac:dyDescent="0.35">
      <c r="A10" s="231" t="s">
        <v>4</v>
      </c>
      <c r="B10" s="142" t="s">
        <v>324</v>
      </c>
      <c r="C10" s="94"/>
      <c r="D10" s="94"/>
      <c r="E10" s="94"/>
      <c r="F10" s="94"/>
      <c r="G10" s="94"/>
      <c r="H10" s="94"/>
      <c r="I10" s="94"/>
      <c r="J10" s="94"/>
      <c r="K10" s="94"/>
    </row>
    <row r="11" spans="1:14" ht="15.5" x14ac:dyDescent="0.35">
      <c r="A11" s="143" t="s">
        <v>11</v>
      </c>
      <c r="B11" s="142" t="s">
        <v>347</v>
      </c>
      <c r="C11" s="94"/>
      <c r="D11" s="94"/>
      <c r="E11" s="94"/>
      <c r="F11" s="94"/>
      <c r="G11" s="94"/>
      <c r="H11" s="94"/>
      <c r="I11" s="94"/>
      <c r="J11" s="94"/>
      <c r="K11" s="94"/>
    </row>
    <row r="12" spans="1:14" ht="15.5" x14ac:dyDescent="0.35">
      <c r="A12" s="143" t="s">
        <v>256</v>
      </c>
      <c r="B12" s="142" t="s">
        <v>217</v>
      </c>
      <c r="C12" s="94"/>
      <c r="D12" s="94"/>
      <c r="E12" s="94"/>
      <c r="F12" s="94"/>
      <c r="G12" s="94"/>
      <c r="H12" s="94"/>
      <c r="I12" s="94"/>
      <c r="J12" s="94"/>
      <c r="K12" s="94"/>
    </row>
    <row r="13" spans="1:14" ht="15.5" x14ac:dyDescent="0.35">
      <c r="A13" s="143" t="s">
        <v>257</v>
      </c>
      <c r="B13" s="229" t="s">
        <v>216</v>
      </c>
      <c r="C13" s="94"/>
      <c r="D13" s="94"/>
      <c r="E13" s="94"/>
      <c r="F13" s="94"/>
      <c r="G13" s="94"/>
      <c r="H13" s="94"/>
      <c r="I13" s="94"/>
      <c r="J13" s="94"/>
      <c r="K13" s="94"/>
    </row>
    <row r="14" spans="1:14" ht="15.5" x14ac:dyDescent="0.35">
      <c r="A14" s="143" t="s">
        <v>9</v>
      </c>
      <c r="B14" s="229" t="s">
        <v>294</v>
      </c>
      <c r="C14" s="94"/>
      <c r="D14" s="94"/>
      <c r="E14" s="94"/>
      <c r="F14" s="94"/>
      <c r="G14" s="94"/>
      <c r="H14" s="94"/>
      <c r="I14" s="94"/>
      <c r="J14" s="94"/>
      <c r="K14" s="94"/>
    </row>
    <row r="15" spans="1:14" ht="15.5" x14ac:dyDescent="0.35">
      <c r="A15" s="143" t="s">
        <v>10</v>
      </c>
      <c r="B15" s="229" t="s">
        <v>295</v>
      </c>
      <c r="C15" s="94"/>
      <c r="D15" s="94"/>
      <c r="E15" s="94"/>
      <c r="F15" s="94"/>
      <c r="G15" s="94"/>
      <c r="H15" s="94"/>
      <c r="I15" s="94"/>
      <c r="J15" s="94"/>
      <c r="K15" s="94"/>
    </row>
    <row r="16" spans="1:14" ht="15.5" x14ac:dyDescent="0.35">
      <c r="A16" s="143" t="s">
        <v>292</v>
      </c>
      <c r="B16" s="142" t="s">
        <v>293</v>
      </c>
      <c r="C16" s="94"/>
      <c r="D16" s="94"/>
      <c r="E16" s="94"/>
      <c r="F16" s="94"/>
      <c r="G16" s="94"/>
      <c r="H16" s="94"/>
      <c r="I16" s="94"/>
      <c r="J16" s="94"/>
      <c r="K16" s="94"/>
    </row>
    <row r="17" spans="1:11" ht="15.5" x14ac:dyDescent="0.35">
      <c r="A17" s="143" t="s">
        <v>296</v>
      </c>
      <c r="B17" s="142" t="s">
        <v>333</v>
      </c>
      <c r="C17" s="94"/>
      <c r="D17" s="94"/>
      <c r="E17" s="94"/>
      <c r="F17" s="94"/>
      <c r="G17" s="94"/>
      <c r="H17" s="94"/>
      <c r="I17" s="94"/>
      <c r="J17" s="94"/>
      <c r="K17" s="94"/>
    </row>
    <row r="18" spans="1:11" ht="16" customHeight="1" x14ac:dyDescent="0.35"/>
  </sheetData>
  <hyperlinks>
    <hyperlink ref="A8" location="'Table 5a Payments by Age '!A1" display="Table 5a"/>
    <hyperlink ref="A7" location="'Table 4 Processing Times'!A1" display="Table 4"/>
    <hyperlink ref="A6" location="'Table 3 Applications by LA'!A1" display="Table 3"/>
    <hyperlink ref="A11" location="'Table 7 Payments by LA '!A1" display="Table 7"/>
    <hyperlink ref="A5" location="'Table 2 Applications by Channel'!A1" display="Table 2"/>
    <hyperlink ref="A4" location="'Table 1 Applications by Month'!A1" display="Table 1"/>
    <hyperlink ref="A15" location="'Chart 2 Payments to Recipients'!A1" display="Chart 2"/>
    <hyperlink ref="A10" location="'Table 6 Payments by Month'!A1" display="Table 6"/>
    <hyperlink ref="A12" location="'Table 8a Re-determinations'!A1" display="Table 8a"/>
    <hyperlink ref="A14" location="'Chart 1 Applications by Month'!A1" display="Chart 1"/>
    <hyperlink ref="A13" location="'Table 8b Appeals'!A1" display="Table 8b"/>
    <hyperlink ref="A16" location="'Table 3 - Full data'!A1" display="Table 3 - Full data "/>
    <hyperlink ref="A17" location="'Table 7 - Full data'!A1" display="Table 7 - Full data"/>
    <hyperlink ref="A9" location="'Table 5b Mean Value of Payments'!A1" display="Table 5b "/>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42"/>
  <sheetViews>
    <sheetView zoomScaleNormal="100" workbookViewId="0"/>
  </sheetViews>
  <sheetFormatPr defaultColWidth="8.7265625" defaultRowHeight="16" customHeight="1" x14ac:dyDescent="0.35"/>
  <cols>
    <col min="1" max="1" width="41.1796875" style="24" customWidth="1"/>
    <col min="2" max="7" width="19.26953125" style="24" customWidth="1"/>
    <col min="8" max="8" width="25.1796875" style="24" customWidth="1"/>
    <col min="9" max="13" width="26.54296875" style="24" customWidth="1"/>
    <col min="14" max="16384" width="8.7265625" style="24"/>
  </cols>
  <sheetData>
    <row r="1" spans="1:15" ht="21.65" customHeight="1" x14ac:dyDescent="0.5">
      <c r="A1" s="10" t="s">
        <v>254</v>
      </c>
      <c r="B1" s="157"/>
      <c r="C1" s="157"/>
      <c r="D1" s="157"/>
      <c r="E1" s="157"/>
      <c r="F1" s="157"/>
      <c r="G1" s="157"/>
      <c r="H1" s="18"/>
      <c r="I1" s="18"/>
      <c r="J1" s="18"/>
    </row>
    <row r="2" spans="1:15" ht="16" customHeight="1" x14ac:dyDescent="0.35">
      <c r="A2" s="24" t="s">
        <v>303</v>
      </c>
      <c r="B2" s="33"/>
      <c r="C2" s="33"/>
      <c r="D2" s="33"/>
      <c r="E2" s="33"/>
      <c r="F2" s="33"/>
      <c r="G2" s="33"/>
      <c r="H2" s="18"/>
      <c r="I2" s="18"/>
      <c r="J2" s="18"/>
      <c r="K2" s="36"/>
      <c r="L2" s="36"/>
      <c r="M2" s="36"/>
      <c r="N2" s="36"/>
      <c r="O2" s="36"/>
    </row>
    <row r="3" spans="1:15" ht="16" customHeight="1" x14ac:dyDescent="0.35">
      <c r="A3" s="88" t="s">
        <v>345</v>
      </c>
      <c r="B3" s="33"/>
      <c r="C3" s="33"/>
      <c r="D3" s="33"/>
      <c r="E3" s="33"/>
      <c r="F3" s="33"/>
      <c r="G3" s="33"/>
      <c r="H3" s="18"/>
      <c r="I3" s="18"/>
      <c r="J3" s="18"/>
      <c r="K3" s="36"/>
      <c r="L3" s="36"/>
      <c r="M3" s="36"/>
      <c r="N3" s="36"/>
      <c r="O3" s="36"/>
    </row>
    <row r="4" spans="1:15" ht="16" customHeight="1" x14ac:dyDescent="0.35">
      <c r="A4" s="88" t="s">
        <v>346</v>
      </c>
      <c r="B4" s="33"/>
      <c r="C4" s="33"/>
      <c r="D4" s="33"/>
      <c r="E4" s="33"/>
      <c r="F4" s="33"/>
      <c r="G4" s="33"/>
      <c r="H4" s="18"/>
      <c r="I4" s="18"/>
      <c r="J4" s="18"/>
      <c r="K4" s="36"/>
      <c r="L4" s="36"/>
      <c r="M4" s="36"/>
      <c r="N4" s="36"/>
      <c r="O4" s="36"/>
    </row>
    <row r="5" spans="1:15" ht="16" customHeight="1" x14ac:dyDescent="0.35">
      <c r="A5" s="15" t="s">
        <v>348</v>
      </c>
      <c r="B5" s="33"/>
      <c r="C5" s="33"/>
      <c r="D5" s="33"/>
      <c r="E5" s="33"/>
      <c r="F5" s="33"/>
      <c r="G5" s="33"/>
      <c r="H5" s="18"/>
      <c r="I5" s="18"/>
      <c r="J5" s="18"/>
    </row>
    <row r="6" spans="1:15" ht="98.15" customHeight="1" x14ac:dyDescent="0.35">
      <c r="A6" s="25" t="s">
        <v>246</v>
      </c>
      <c r="B6" s="48" t="s">
        <v>247</v>
      </c>
      <c r="C6" s="48" t="s">
        <v>248</v>
      </c>
      <c r="D6" s="48" t="s">
        <v>249</v>
      </c>
      <c r="E6" s="48" t="s">
        <v>250</v>
      </c>
      <c r="F6" s="48" t="s">
        <v>251</v>
      </c>
      <c r="G6" s="48" t="s">
        <v>252</v>
      </c>
      <c r="H6" s="49" t="s">
        <v>253</v>
      </c>
      <c r="I6" s="71"/>
      <c r="J6" s="71"/>
    </row>
    <row r="7" spans="1:15" ht="16" customHeight="1" x14ac:dyDescent="0.35">
      <c r="A7" s="55" t="s">
        <v>5</v>
      </c>
      <c r="B7" s="165">
        <v>535</v>
      </c>
      <c r="C7" s="186">
        <v>2.9000000000000001E-2</v>
      </c>
      <c r="D7" s="123">
        <v>530</v>
      </c>
      <c r="E7" s="123">
        <v>255</v>
      </c>
      <c r="F7" s="123">
        <v>220</v>
      </c>
      <c r="G7" s="123">
        <v>55</v>
      </c>
      <c r="H7" s="123">
        <v>13</v>
      </c>
      <c r="I7" s="71"/>
      <c r="J7" s="71"/>
    </row>
    <row r="8" spans="1:15" ht="16" customHeight="1" x14ac:dyDescent="0.35">
      <c r="A8" s="64" t="s">
        <v>155</v>
      </c>
      <c r="B8" s="236" t="s">
        <v>194</v>
      </c>
      <c r="C8" s="187" t="s">
        <v>194</v>
      </c>
      <c r="D8" s="236">
        <v>0</v>
      </c>
      <c r="E8" s="236">
        <v>0</v>
      </c>
      <c r="F8" s="236">
        <v>0</v>
      </c>
      <c r="G8" s="236">
        <v>0</v>
      </c>
      <c r="H8" s="236" t="s">
        <v>268</v>
      </c>
    </row>
    <row r="9" spans="1:15" ht="16" customHeight="1" x14ac:dyDescent="0.35">
      <c r="A9" s="64" t="s">
        <v>156</v>
      </c>
      <c r="B9" s="102">
        <v>10</v>
      </c>
      <c r="C9" s="188">
        <v>2.3E-2</v>
      </c>
      <c r="D9" s="236">
        <v>5</v>
      </c>
      <c r="E9" s="236">
        <v>5</v>
      </c>
      <c r="F9" s="236" t="s">
        <v>194</v>
      </c>
      <c r="G9" s="236">
        <v>0</v>
      </c>
      <c r="H9" s="236">
        <v>16</v>
      </c>
    </row>
    <row r="10" spans="1:15" ht="16" customHeight="1" x14ac:dyDescent="0.35">
      <c r="A10" s="64" t="s">
        <v>157</v>
      </c>
      <c r="B10" s="102">
        <v>10</v>
      </c>
      <c r="C10" s="188">
        <v>2.5000000000000001E-2</v>
      </c>
      <c r="D10" s="236">
        <v>10</v>
      </c>
      <c r="E10" s="236">
        <v>5</v>
      </c>
      <c r="F10" s="236">
        <v>5</v>
      </c>
      <c r="G10" s="236">
        <v>0</v>
      </c>
      <c r="H10" s="236">
        <v>16</v>
      </c>
    </row>
    <row r="11" spans="1:15" ht="16" customHeight="1" x14ac:dyDescent="0.35">
      <c r="A11" s="64" t="s">
        <v>158</v>
      </c>
      <c r="B11" s="102">
        <v>20</v>
      </c>
      <c r="C11" s="188">
        <v>3.5999999999999997E-2</v>
      </c>
      <c r="D11" s="236">
        <v>20</v>
      </c>
      <c r="E11" s="236">
        <v>10</v>
      </c>
      <c r="F11" s="236">
        <v>10</v>
      </c>
      <c r="G11" s="236" t="s">
        <v>194</v>
      </c>
      <c r="H11" s="236">
        <v>13</v>
      </c>
      <c r="I11" s="71"/>
      <c r="J11" s="71"/>
    </row>
    <row r="12" spans="1:15" ht="16" customHeight="1" x14ac:dyDescent="0.35">
      <c r="A12" s="64" t="s">
        <v>159</v>
      </c>
      <c r="B12" s="102">
        <v>30</v>
      </c>
      <c r="C12" s="188">
        <v>4.3999999999999997E-2</v>
      </c>
      <c r="D12" s="236">
        <v>20</v>
      </c>
      <c r="E12" s="236">
        <v>5</v>
      </c>
      <c r="F12" s="236">
        <v>10</v>
      </c>
      <c r="G12" s="236">
        <v>5</v>
      </c>
      <c r="H12" s="236">
        <v>11.5</v>
      </c>
      <c r="I12" s="71"/>
      <c r="J12" s="71"/>
    </row>
    <row r="13" spans="1:15" ht="16" customHeight="1" x14ac:dyDescent="0.35">
      <c r="A13" s="64" t="s">
        <v>153</v>
      </c>
      <c r="B13" s="102">
        <v>35</v>
      </c>
      <c r="C13" s="188">
        <v>6.7000000000000004E-2</v>
      </c>
      <c r="D13" s="236">
        <v>35</v>
      </c>
      <c r="E13" s="236">
        <v>20</v>
      </c>
      <c r="F13" s="236">
        <v>15</v>
      </c>
      <c r="G13" s="236" t="s">
        <v>194</v>
      </c>
      <c r="H13" s="236">
        <v>13.5</v>
      </c>
      <c r="I13" s="71"/>
      <c r="J13" s="71"/>
    </row>
    <row r="14" spans="1:15" ht="16" customHeight="1" x14ac:dyDescent="0.35">
      <c r="A14" s="64" t="s">
        <v>160</v>
      </c>
      <c r="B14" s="102">
        <v>30</v>
      </c>
      <c r="C14" s="188">
        <v>5.2999999999999999E-2</v>
      </c>
      <c r="D14" s="236">
        <v>40</v>
      </c>
      <c r="E14" s="236">
        <v>15</v>
      </c>
      <c r="F14" s="236">
        <v>20</v>
      </c>
      <c r="G14" s="236" t="s">
        <v>194</v>
      </c>
      <c r="H14" s="236">
        <v>14</v>
      </c>
    </row>
    <row r="15" spans="1:15" ht="16" customHeight="1" x14ac:dyDescent="0.35">
      <c r="A15" s="64" t="s">
        <v>161</v>
      </c>
      <c r="B15" s="102">
        <v>25</v>
      </c>
      <c r="C15" s="188">
        <v>3.7999999999999999E-2</v>
      </c>
      <c r="D15" s="236">
        <v>25</v>
      </c>
      <c r="E15" s="236">
        <v>10</v>
      </c>
      <c r="F15" s="236">
        <v>10</v>
      </c>
      <c r="G15" s="236">
        <v>5</v>
      </c>
      <c r="H15" s="236">
        <v>13</v>
      </c>
    </row>
    <row r="16" spans="1:15" ht="16" customHeight="1" x14ac:dyDescent="0.35">
      <c r="A16" s="64" t="s">
        <v>162</v>
      </c>
      <c r="B16" s="102">
        <v>20</v>
      </c>
      <c r="C16" s="188">
        <v>3.4000000000000002E-2</v>
      </c>
      <c r="D16" s="236">
        <v>20</v>
      </c>
      <c r="E16" s="236">
        <v>10</v>
      </c>
      <c r="F16" s="236">
        <v>10</v>
      </c>
      <c r="G16" s="236">
        <v>5</v>
      </c>
      <c r="H16" s="236">
        <v>13</v>
      </c>
    </row>
    <row r="17" spans="1:8" ht="16" customHeight="1" x14ac:dyDescent="0.35">
      <c r="A17" s="64" t="s">
        <v>163</v>
      </c>
      <c r="B17" s="102">
        <v>20</v>
      </c>
      <c r="C17" s="188">
        <v>1.9E-2</v>
      </c>
      <c r="D17" s="236">
        <v>20</v>
      </c>
      <c r="E17" s="236">
        <v>10</v>
      </c>
      <c r="F17" s="236">
        <v>10</v>
      </c>
      <c r="G17" s="236" t="s">
        <v>194</v>
      </c>
      <c r="H17" s="236">
        <v>14</v>
      </c>
    </row>
    <row r="18" spans="1:8" ht="16" customHeight="1" x14ac:dyDescent="0.35">
      <c r="A18" s="64" t="s">
        <v>164</v>
      </c>
      <c r="B18" s="102">
        <v>25</v>
      </c>
      <c r="C18" s="188">
        <v>3.3000000000000002E-2</v>
      </c>
      <c r="D18" s="236">
        <v>20</v>
      </c>
      <c r="E18" s="236">
        <v>10</v>
      </c>
      <c r="F18" s="236">
        <v>5</v>
      </c>
      <c r="G18" s="236" t="s">
        <v>194</v>
      </c>
      <c r="H18" s="236">
        <v>14.5</v>
      </c>
    </row>
    <row r="19" spans="1:8" ht="16" customHeight="1" x14ac:dyDescent="0.35">
      <c r="A19" s="64" t="s">
        <v>165</v>
      </c>
      <c r="B19" s="102">
        <v>25</v>
      </c>
      <c r="C19" s="188">
        <v>3.5999999999999997E-2</v>
      </c>
      <c r="D19" s="236">
        <v>25</v>
      </c>
      <c r="E19" s="236">
        <v>15</v>
      </c>
      <c r="F19" s="236">
        <v>10</v>
      </c>
      <c r="G19" s="236">
        <v>5</v>
      </c>
      <c r="H19" s="236">
        <v>15</v>
      </c>
    </row>
    <row r="20" spans="1:8" ht="16" customHeight="1" x14ac:dyDescent="0.35">
      <c r="A20" s="64" t="s">
        <v>166</v>
      </c>
      <c r="B20" s="102">
        <v>20</v>
      </c>
      <c r="C20" s="188">
        <v>3.3000000000000002E-2</v>
      </c>
      <c r="D20" s="236">
        <v>20</v>
      </c>
      <c r="E20" s="236">
        <v>5</v>
      </c>
      <c r="F20" s="236">
        <v>10</v>
      </c>
      <c r="G20" s="236">
        <v>5</v>
      </c>
      <c r="H20" s="236">
        <v>15.5</v>
      </c>
    </row>
    <row r="21" spans="1:8" ht="16" customHeight="1" x14ac:dyDescent="0.35">
      <c r="A21" s="64" t="s">
        <v>167</v>
      </c>
      <c r="B21" s="102">
        <v>25</v>
      </c>
      <c r="C21" s="188">
        <v>4.1000000000000002E-2</v>
      </c>
      <c r="D21" s="236">
        <v>25</v>
      </c>
      <c r="E21" s="236">
        <v>10</v>
      </c>
      <c r="F21" s="236">
        <v>10</v>
      </c>
      <c r="G21" s="236">
        <v>5</v>
      </c>
      <c r="H21" s="236">
        <v>15</v>
      </c>
    </row>
    <row r="22" spans="1:8" ht="16" customHeight="1" x14ac:dyDescent="0.35">
      <c r="A22" s="64" t="s">
        <v>168</v>
      </c>
      <c r="B22" s="102">
        <v>15</v>
      </c>
      <c r="C22" s="188">
        <v>2.5000000000000001E-2</v>
      </c>
      <c r="D22" s="236">
        <v>25</v>
      </c>
      <c r="E22" s="236">
        <v>10</v>
      </c>
      <c r="F22" s="236">
        <v>10</v>
      </c>
      <c r="G22" s="236" t="s">
        <v>194</v>
      </c>
      <c r="H22" s="236">
        <v>14</v>
      </c>
    </row>
    <row r="23" spans="1:8" ht="16" customHeight="1" x14ac:dyDescent="0.35">
      <c r="A23" s="65" t="s">
        <v>169</v>
      </c>
      <c r="B23" s="102">
        <v>15</v>
      </c>
      <c r="C23" s="188">
        <v>2.3E-2</v>
      </c>
      <c r="D23" s="236">
        <v>15</v>
      </c>
      <c r="E23" s="236">
        <v>10</v>
      </c>
      <c r="F23" s="236">
        <v>5</v>
      </c>
      <c r="G23" s="236">
        <v>0</v>
      </c>
      <c r="H23" s="236">
        <v>10</v>
      </c>
    </row>
    <row r="24" spans="1:8" ht="16" customHeight="1" x14ac:dyDescent="0.35">
      <c r="A24" s="66" t="s">
        <v>170</v>
      </c>
      <c r="B24" s="102">
        <v>20</v>
      </c>
      <c r="C24" s="188">
        <v>2.4E-2</v>
      </c>
      <c r="D24" s="236">
        <v>10</v>
      </c>
      <c r="E24" s="236">
        <v>5</v>
      </c>
      <c r="F24" s="236">
        <v>5</v>
      </c>
      <c r="G24" s="236">
        <v>5</v>
      </c>
      <c r="H24" s="236">
        <v>15</v>
      </c>
    </row>
    <row r="25" spans="1:8" ht="16" customHeight="1" x14ac:dyDescent="0.35">
      <c r="A25" s="66" t="s">
        <v>154</v>
      </c>
      <c r="B25" s="102">
        <v>15</v>
      </c>
      <c r="C25" s="188">
        <v>0.02</v>
      </c>
      <c r="D25" s="236">
        <v>20</v>
      </c>
      <c r="E25" s="236">
        <v>5</v>
      </c>
      <c r="F25" s="236">
        <v>15</v>
      </c>
      <c r="G25" s="236" t="s">
        <v>194</v>
      </c>
      <c r="H25" s="236">
        <v>12</v>
      </c>
    </row>
    <row r="26" spans="1:8" ht="16" customHeight="1" x14ac:dyDescent="0.35">
      <c r="A26" s="66" t="s">
        <v>171</v>
      </c>
      <c r="B26" s="102">
        <v>15</v>
      </c>
      <c r="C26" s="188">
        <v>1.4999999999999999E-2</v>
      </c>
      <c r="D26" s="236">
        <v>20</v>
      </c>
      <c r="E26" s="236">
        <v>10</v>
      </c>
      <c r="F26" s="236">
        <v>10</v>
      </c>
      <c r="G26" s="236" t="s">
        <v>194</v>
      </c>
      <c r="H26" s="236">
        <v>10</v>
      </c>
    </row>
    <row r="27" spans="1:8" ht="16" customHeight="1" x14ac:dyDescent="0.35">
      <c r="A27" s="66" t="s">
        <v>172</v>
      </c>
      <c r="B27" s="102">
        <v>15</v>
      </c>
      <c r="C27" s="188">
        <v>2.1000000000000001E-2</v>
      </c>
      <c r="D27" s="236">
        <v>10</v>
      </c>
      <c r="E27" s="236">
        <v>10</v>
      </c>
      <c r="F27" s="236" t="s">
        <v>194</v>
      </c>
      <c r="G27" s="236">
        <v>5</v>
      </c>
      <c r="H27" s="236">
        <v>5</v>
      </c>
    </row>
    <row r="28" spans="1:8" ht="16" customHeight="1" x14ac:dyDescent="0.35">
      <c r="A28" s="66" t="s">
        <v>173</v>
      </c>
      <c r="B28" s="102">
        <v>10</v>
      </c>
      <c r="C28" s="188">
        <v>2.1000000000000001E-2</v>
      </c>
      <c r="D28" s="236">
        <v>15</v>
      </c>
      <c r="E28" s="236">
        <v>10</v>
      </c>
      <c r="F28" s="236">
        <v>5</v>
      </c>
      <c r="G28" s="236">
        <v>5</v>
      </c>
      <c r="H28" s="236">
        <v>8</v>
      </c>
    </row>
    <row r="29" spans="1:8" ht="16" customHeight="1" x14ac:dyDescent="0.35">
      <c r="A29" s="125" t="s">
        <v>223</v>
      </c>
      <c r="B29" s="102">
        <v>15</v>
      </c>
      <c r="C29" s="188">
        <v>2.3E-2</v>
      </c>
      <c r="D29" s="236">
        <v>10</v>
      </c>
      <c r="E29" s="236" t="s">
        <v>194</v>
      </c>
      <c r="F29" s="236">
        <v>5</v>
      </c>
      <c r="G29" s="236">
        <v>5</v>
      </c>
      <c r="H29" s="236">
        <v>12</v>
      </c>
    </row>
    <row r="30" spans="1:8" ht="16" customHeight="1" x14ac:dyDescent="0.35">
      <c r="A30" s="195" t="s">
        <v>334</v>
      </c>
      <c r="B30" s="102">
        <v>15</v>
      </c>
      <c r="C30" s="188">
        <v>0.02</v>
      </c>
      <c r="D30" s="236">
        <v>20</v>
      </c>
      <c r="E30" s="236">
        <v>10</v>
      </c>
      <c r="F30" s="236">
        <v>5</v>
      </c>
      <c r="G30" s="236">
        <v>5</v>
      </c>
      <c r="H30" s="236">
        <v>6</v>
      </c>
    </row>
    <row r="31" spans="1:8" ht="16" customHeight="1" x14ac:dyDescent="0.35">
      <c r="A31" s="195" t="s">
        <v>335</v>
      </c>
      <c r="B31" s="102">
        <v>20</v>
      </c>
      <c r="C31" s="188">
        <v>2.7E-2</v>
      </c>
      <c r="D31" s="236">
        <v>20</v>
      </c>
      <c r="E31" s="236">
        <v>10</v>
      </c>
      <c r="F31" s="236">
        <v>5</v>
      </c>
      <c r="G31" s="236" t="s">
        <v>194</v>
      </c>
      <c r="H31" s="236">
        <v>6</v>
      </c>
    </row>
    <row r="32" spans="1:8" ht="16.5" customHeight="1" x14ac:dyDescent="0.35">
      <c r="A32" s="195" t="s">
        <v>336</v>
      </c>
      <c r="B32" s="102">
        <v>20</v>
      </c>
      <c r="C32" s="188">
        <v>2.8000000000000001E-2</v>
      </c>
      <c r="D32" s="236">
        <v>25</v>
      </c>
      <c r="E32" s="236">
        <v>10</v>
      </c>
      <c r="F32" s="236">
        <v>10</v>
      </c>
      <c r="G32" s="236" t="s">
        <v>194</v>
      </c>
      <c r="H32" s="236">
        <v>9</v>
      </c>
    </row>
    <row r="33" spans="1:8" ht="16" customHeight="1" x14ac:dyDescent="0.35">
      <c r="A33" s="195" t="s">
        <v>366</v>
      </c>
      <c r="B33" s="102">
        <v>20</v>
      </c>
      <c r="C33" s="188">
        <v>3.9E-2</v>
      </c>
      <c r="D33" s="236">
        <v>25</v>
      </c>
      <c r="E33" s="236">
        <v>10</v>
      </c>
      <c r="F33" s="236">
        <v>10</v>
      </c>
      <c r="G33" s="236">
        <v>0</v>
      </c>
      <c r="H33" s="236">
        <v>5</v>
      </c>
    </row>
    <row r="34" spans="1:8" ht="16" customHeight="1" x14ac:dyDescent="0.35">
      <c r="A34" s="195" t="s">
        <v>367</v>
      </c>
      <c r="B34" s="102">
        <v>20</v>
      </c>
      <c r="C34" s="188">
        <v>3.4000000000000002E-2</v>
      </c>
      <c r="D34" s="236">
        <v>20</v>
      </c>
      <c r="E34" s="236">
        <v>10</v>
      </c>
      <c r="F34" s="236">
        <v>10</v>
      </c>
      <c r="G34" s="236">
        <v>0</v>
      </c>
      <c r="H34" s="236">
        <v>6</v>
      </c>
    </row>
    <row r="35" spans="1:8" ht="18.649999999999999" customHeight="1" thickBot="1" x14ac:dyDescent="0.4">
      <c r="A35" s="114" t="s">
        <v>368</v>
      </c>
      <c r="B35" s="102">
        <v>15</v>
      </c>
      <c r="C35" s="188">
        <v>2.1000000000000001E-2</v>
      </c>
      <c r="D35" s="236">
        <v>15</v>
      </c>
      <c r="E35" s="236">
        <v>10</v>
      </c>
      <c r="F35" s="236">
        <v>5</v>
      </c>
      <c r="G35" s="236">
        <v>0</v>
      </c>
      <c r="H35" s="236">
        <v>9</v>
      </c>
    </row>
    <row r="36" spans="1:8" ht="16" customHeight="1" x14ac:dyDescent="0.35">
      <c r="A36" s="28" t="s">
        <v>7</v>
      </c>
    </row>
    <row r="37" spans="1:8" ht="16" customHeight="1" x14ac:dyDescent="0.35">
      <c r="A37" s="28" t="s">
        <v>302</v>
      </c>
    </row>
    <row r="38" spans="1:8" ht="109" customHeight="1" x14ac:dyDescent="0.35">
      <c r="A38" s="155" t="s">
        <v>365</v>
      </c>
    </row>
    <row r="39" spans="1:8" ht="16" customHeight="1" x14ac:dyDescent="0.35">
      <c r="A39" s="166" t="s">
        <v>242</v>
      </c>
    </row>
    <row r="40" spans="1:8" ht="16" customHeight="1" x14ac:dyDescent="0.35">
      <c r="A40" s="150" t="s">
        <v>243</v>
      </c>
    </row>
    <row r="41" spans="1:8" ht="16" customHeight="1" x14ac:dyDescent="0.35">
      <c r="A41" s="28" t="s">
        <v>244</v>
      </c>
    </row>
    <row r="42" spans="1:8" ht="16" customHeight="1" x14ac:dyDescent="0.35">
      <c r="A42" s="163" t="s">
        <v>245</v>
      </c>
    </row>
  </sheetData>
  <conditionalFormatting sqref="H6">
    <cfRule type="dataBar" priority="14">
      <dataBar>
        <cfvo type="num" val="0"/>
        <cfvo type="num" val="1"/>
        <color theme="4" tint="-0.249977111117893"/>
      </dataBar>
      <extLst>
        <ext xmlns:x14="http://schemas.microsoft.com/office/spreadsheetml/2009/9/main" uri="{B025F937-C7B1-47D3-B67F-A62EFF666E3E}">
          <x14:id>{0DE1B78A-FF00-4C43-9BE1-55DD24021CBF}</x14:id>
        </ext>
      </extLst>
    </cfRule>
  </conditionalFormatting>
  <conditionalFormatting sqref="C7:C23">
    <cfRule type="dataBar" priority="3">
      <dataBar>
        <cfvo type="num" val="0"/>
        <cfvo type="num" val="1"/>
        <color rgb="FFB4A9D4"/>
      </dataBar>
      <extLst>
        <ext xmlns:x14="http://schemas.microsoft.com/office/spreadsheetml/2009/9/main" uri="{B025F937-C7B1-47D3-B67F-A62EFF666E3E}">
          <x14:id>{48A708E8-2471-4F55-AB59-35E07396A31C}</x14:id>
        </ext>
      </extLst>
    </cfRule>
  </conditionalFormatting>
  <conditionalFormatting sqref="C24:C35">
    <cfRule type="dataBar" priority="1">
      <dataBar>
        <cfvo type="num" val="0"/>
        <cfvo type="num" val="1"/>
        <color rgb="FFB4A9D4"/>
      </dataBar>
      <extLst>
        <ext xmlns:x14="http://schemas.microsoft.com/office/spreadsheetml/2009/9/main" uri="{B025F937-C7B1-47D3-B67F-A62EFF666E3E}">
          <x14:id>{48565772-117A-459E-9863-6BF29FBC056E}</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DE1B78A-FF00-4C43-9BE1-55DD24021CBF}">
            <x14:dataBar minLength="0" maxLength="100" border="1">
              <x14:cfvo type="num">
                <xm:f>0</xm:f>
              </x14:cfvo>
              <x14:cfvo type="num">
                <xm:f>1</xm:f>
              </x14:cfvo>
              <x14:borderColor theme="8" tint="0.39997558519241921"/>
              <x14:negativeFillColor rgb="FFFF0000"/>
              <x14:axisColor rgb="FF000000"/>
            </x14:dataBar>
          </x14:cfRule>
          <xm:sqref>H6</xm:sqref>
        </x14:conditionalFormatting>
        <x14:conditionalFormatting xmlns:xm="http://schemas.microsoft.com/office/excel/2006/main">
          <x14:cfRule type="dataBar" id="{48A708E8-2471-4F55-AB59-35E07396A31C}">
            <x14:dataBar minLength="0" maxLength="100" gradient="0">
              <x14:cfvo type="num">
                <xm:f>0</xm:f>
              </x14:cfvo>
              <x14:cfvo type="num">
                <xm:f>1</xm:f>
              </x14:cfvo>
              <x14:negativeFillColor rgb="FFFF0000"/>
              <x14:axisColor rgb="FF000000"/>
            </x14:dataBar>
          </x14:cfRule>
          <xm:sqref>C7:C23</xm:sqref>
        </x14:conditionalFormatting>
        <x14:conditionalFormatting xmlns:xm="http://schemas.microsoft.com/office/excel/2006/main">
          <x14:cfRule type="dataBar" id="{48565772-117A-459E-9863-6BF29FBC056E}">
            <x14:dataBar minLength="0" maxLength="100" gradient="0">
              <x14:cfvo type="num">
                <xm:f>0</xm:f>
              </x14:cfvo>
              <x14:cfvo type="num">
                <xm:f>1</xm:f>
              </x14:cfvo>
              <x14:negativeFillColor rgb="FFFF0000"/>
              <x14:axisColor rgb="FF000000"/>
            </x14:dataBar>
          </x14:cfRule>
          <xm:sqref>C24:C35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2"/>
  <sheetViews>
    <sheetView zoomScaleNormal="100" workbookViewId="0"/>
  </sheetViews>
  <sheetFormatPr defaultRowHeight="15.65" customHeight="1" x14ac:dyDescent="0.35"/>
  <cols>
    <col min="1" max="1" width="46.26953125" customWidth="1"/>
    <col min="2" max="10" width="17.26953125" customWidth="1"/>
  </cols>
  <sheetData>
    <row r="1" spans="1:22" ht="23.5" customHeight="1" x14ac:dyDescent="0.5">
      <c r="A1" s="10" t="s">
        <v>255</v>
      </c>
      <c r="B1" s="10"/>
      <c r="C1" s="10"/>
      <c r="D1" s="10"/>
      <c r="E1" s="10"/>
      <c r="F1" s="10"/>
      <c r="G1" s="10"/>
      <c r="H1" s="12"/>
      <c r="I1" s="12"/>
      <c r="J1" s="12"/>
      <c r="K1" s="12"/>
      <c r="L1" s="11"/>
      <c r="M1" s="11"/>
      <c r="N1" s="11"/>
      <c r="O1" s="11"/>
      <c r="P1" s="11"/>
      <c r="Q1" s="11"/>
      <c r="R1" s="11"/>
    </row>
    <row r="2" spans="1:22" ht="15.65" customHeight="1" x14ac:dyDescent="0.5">
      <c r="A2" s="24" t="s">
        <v>304</v>
      </c>
      <c r="B2" s="9"/>
      <c r="C2" s="9"/>
      <c r="D2" s="9"/>
      <c r="E2" s="9"/>
      <c r="F2" s="9"/>
      <c r="G2" s="9"/>
      <c r="H2" s="12"/>
      <c r="I2" s="12"/>
      <c r="J2" s="12"/>
      <c r="K2" s="12"/>
      <c r="L2" s="11"/>
      <c r="M2" s="11"/>
      <c r="N2" s="11"/>
      <c r="O2" s="11"/>
      <c r="P2" s="11"/>
      <c r="Q2" s="11"/>
      <c r="R2" s="11"/>
    </row>
    <row r="3" spans="1:22" s="11" customFormat="1" ht="15.65" customHeight="1" x14ac:dyDescent="0.5">
      <c r="A3" s="88" t="s">
        <v>345</v>
      </c>
      <c r="B3" s="9"/>
      <c r="C3" s="9"/>
      <c r="D3" s="9"/>
      <c r="E3" s="9"/>
      <c r="F3" s="9"/>
      <c r="G3" s="9"/>
      <c r="H3" s="12"/>
      <c r="I3" s="12"/>
      <c r="J3" s="12"/>
      <c r="K3" s="12"/>
    </row>
    <row r="4" spans="1:22" s="11" customFormat="1" ht="15.65" customHeight="1" x14ac:dyDescent="0.5">
      <c r="A4" s="88" t="s">
        <v>346</v>
      </c>
      <c r="B4" s="9"/>
      <c r="C4" s="9"/>
      <c r="D4" s="9"/>
      <c r="E4" s="9"/>
      <c r="F4" s="9"/>
      <c r="G4" s="9"/>
      <c r="H4" s="12"/>
      <c r="I4" s="12"/>
      <c r="J4" s="12"/>
      <c r="K4" s="12"/>
    </row>
    <row r="5" spans="1:22" s="5" customFormat="1" ht="15.65" customHeight="1" x14ac:dyDescent="0.5">
      <c r="A5" s="15" t="s">
        <v>348</v>
      </c>
      <c r="B5" s="9"/>
      <c r="C5" s="9"/>
      <c r="D5" s="9"/>
      <c r="E5" s="9"/>
      <c r="F5" s="9"/>
      <c r="G5" s="9"/>
      <c r="H5" s="12"/>
      <c r="I5" s="12"/>
      <c r="J5" s="12"/>
      <c r="K5" s="12"/>
      <c r="L5" s="11"/>
      <c r="M5" s="11"/>
      <c r="N5" s="11"/>
      <c r="O5" s="11"/>
      <c r="P5" s="11"/>
      <c r="Q5" s="11"/>
      <c r="R5" s="11"/>
    </row>
    <row r="6" spans="1:22" ht="101.5" customHeight="1" x14ac:dyDescent="0.35">
      <c r="A6" s="25" t="s">
        <v>8</v>
      </c>
      <c r="B6" s="48" t="s">
        <v>258</v>
      </c>
      <c r="C6" s="48" t="s">
        <v>263</v>
      </c>
      <c r="D6" s="48" t="s">
        <v>262</v>
      </c>
      <c r="E6" s="48" t="s">
        <v>261</v>
      </c>
      <c r="F6" s="16"/>
      <c r="G6" s="21"/>
      <c r="H6" s="16"/>
      <c r="I6" s="16"/>
      <c r="J6" s="16"/>
      <c r="K6" s="16"/>
      <c r="L6" s="16"/>
      <c r="M6" s="11"/>
    </row>
    <row r="7" spans="1:22" ht="15.65" customHeight="1" x14ac:dyDescent="0.35">
      <c r="A7" s="55" t="s">
        <v>5</v>
      </c>
      <c r="B7" s="132">
        <v>25</v>
      </c>
      <c r="C7" s="133">
        <v>25</v>
      </c>
      <c r="D7" s="132">
        <v>5</v>
      </c>
      <c r="E7" s="132">
        <v>15</v>
      </c>
      <c r="F7" s="16"/>
      <c r="G7" s="21"/>
      <c r="H7" s="16"/>
      <c r="I7" s="16"/>
      <c r="J7" s="16"/>
      <c r="K7" s="16"/>
      <c r="L7" s="16"/>
      <c r="M7" s="11"/>
    </row>
    <row r="8" spans="1:22" ht="15.65" customHeight="1" x14ac:dyDescent="0.35">
      <c r="A8" s="64" t="s">
        <v>155</v>
      </c>
      <c r="B8" s="236">
        <v>0</v>
      </c>
      <c r="C8" s="236">
        <v>0</v>
      </c>
      <c r="D8" s="236">
        <v>0</v>
      </c>
      <c r="E8" s="236">
        <v>0</v>
      </c>
      <c r="F8" s="16"/>
      <c r="G8" s="23"/>
      <c r="H8" s="16"/>
      <c r="I8" s="16"/>
      <c r="J8" s="16"/>
      <c r="K8" s="16"/>
      <c r="L8" s="16"/>
      <c r="M8" s="11"/>
    </row>
    <row r="9" spans="1:22" ht="15.65" customHeight="1" x14ac:dyDescent="0.35">
      <c r="A9" s="64" t="s">
        <v>156</v>
      </c>
      <c r="B9" s="236">
        <v>0</v>
      </c>
      <c r="C9" s="236">
        <v>0</v>
      </c>
      <c r="D9" s="236">
        <v>0</v>
      </c>
      <c r="E9" s="236">
        <v>0</v>
      </c>
      <c r="F9" s="16"/>
      <c r="G9" s="23"/>
      <c r="H9" s="24"/>
      <c r="I9" s="16"/>
      <c r="J9" s="16"/>
      <c r="K9" s="16"/>
      <c r="L9" s="16"/>
      <c r="M9" s="11"/>
    </row>
    <row r="10" spans="1:22" ht="15.65" customHeight="1" x14ac:dyDescent="0.35">
      <c r="A10" s="64" t="s">
        <v>157</v>
      </c>
      <c r="B10" s="236" t="s">
        <v>194</v>
      </c>
      <c r="C10" s="236">
        <v>0</v>
      </c>
      <c r="D10" s="236">
        <v>0</v>
      </c>
      <c r="E10" s="236">
        <v>0</v>
      </c>
      <c r="F10" s="16"/>
      <c r="G10" s="23"/>
      <c r="H10" s="24"/>
      <c r="I10" s="16"/>
      <c r="J10" s="16"/>
      <c r="K10" s="16"/>
      <c r="L10" s="16"/>
      <c r="M10" s="11"/>
    </row>
    <row r="11" spans="1:22" s="8" customFormat="1" ht="15.65" customHeight="1" x14ac:dyDescent="0.35">
      <c r="A11" s="64" t="s">
        <v>158</v>
      </c>
      <c r="B11" s="236">
        <v>0</v>
      </c>
      <c r="C11" s="236">
        <v>0</v>
      </c>
      <c r="D11" s="236">
        <v>0</v>
      </c>
      <c r="E11" s="236">
        <v>0</v>
      </c>
      <c r="F11" s="16"/>
      <c r="G11" s="23"/>
      <c r="H11" s="24"/>
      <c r="I11" s="16"/>
      <c r="J11" s="16"/>
      <c r="K11" s="16"/>
      <c r="L11" s="16"/>
      <c r="M11" s="11"/>
    </row>
    <row r="12" spans="1:22" s="11" customFormat="1" ht="15.65" customHeight="1" x14ac:dyDescent="0.35">
      <c r="A12" s="64" t="s">
        <v>159</v>
      </c>
      <c r="B12" s="236">
        <v>0</v>
      </c>
      <c r="C12" s="236">
        <v>0</v>
      </c>
      <c r="D12" s="236">
        <v>0</v>
      </c>
      <c r="E12" s="236">
        <v>0</v>
      </c>
      <c r="F12" s="24"/>
      <c r="G12" s="24"/>
      <c r="H12" s="24"/>
      <c r="I12" s="24"/>
      <c r="J12" s="24"/>
      <c r="K12" s="24"/>
      <c r="L12" s="24"/>
      <c r="M12" s="24"/>
      <c r="N12" s="24"/>
      <c r="O12" s="24"/>
      <c r="P12" s="24"/>
      <c r="Q12" s="24"/>
      <c r="R12" s="24"/>
      <c r="S12" s="24"/>
      <c r="T12" s="24"/>
      <c r="U12" s="24"/>
      <c r="V12" s="24"/>
    </row>
    <row r="13" spans="1:22" s="11" customFormat="1" ht="15.65" customHeight="1" x14ac:dyDescent="0.35">
      <c r="A13" s="64" t="s">
        <v>153</v>
      </c>
      <c r="B13" s="236" t="s">
        <v>194</v>
      </c>
      <c r="C13" s="236">
        <v>0</v>
      </c>
      <c r="D13" s="236">
        <v>0</v>
      </c>
      <c r="E13" s="236">
        <v>0</v>
      </c>
      <c r="F13" s="24"/>
      <c r="G13" s="24"/>
      <c r="H13" s="24"/>
      <c r="I13" s="24"/>
      <c r="J13" s="24"/>
      <c r="K13" s="24"/>
      <c r="L13" s="24"/>
      <c r="M13" s="24"/>
      <c r="N13" s="24"/>
      <c r="O13" s="24"/>
      <c r="P13" s="24"/>
      <c r="Q13" s="24"/>
      <c r="R13" s="24"/>
      <c r="S13" s="24"/>
      <c r="T13" s="24"/>
      <c r="U13" s="24"/>
      <c r="V13" s="24"/>
    </row>
    <row r="14" spans="1:22" s="39" customFormat="1" ht="15.65" customHeight="1" x14ac:dyDescent="0.35">
      <c r="A14" s="64" t="s">
        <v>160</v>
      </c>
      <c r="B14" s="236" t="s">
        <v>194</v>
      </c>
      <c r="C14" s="236">
        <v>0</v>
      </c>
      <c r="D14" s="236">
        <v>0</v>
      </c>
      <c r="E14" s="236">
        <v>0</v>
      </c>
      <c r="F14" s="24"/>
      <c r="G14" s="24"/>
      <c r="H14" s="24"/>
      <c r="I14" s="71"/>
      <c r="J14" s="71"/>
      <c r="K14" s="71"/>
      <c r="L14" s="71"/>
      <c r="M14" s="71"/>
      <c r="N14" s="71"/>
      <c r="O14" s="71"/>
      <c r="P14" s="71"/>
      <c r="Q14" s="71"/>
      <c r="R14" s="71"/>
      <c r="S14" s="71"/>
      <c r="T14" s="71"/>
      <c r="U14" s="71"/>
      <c r="V14" s="71"/>
    </row>
    <row r="15" spans="1:22" s="39" customFormat="1" ht="15.65" customHeight="1" x14ac:dyDescent="0.35">
      <c r="A15" s="64" t="s">
        <v>161</v>
      </c>
      <c r="B15" s="236" t="s">
        <v>194</v>
      </c>
      <c r="C15" s="236" t="s">
        <v>194</v>
      </c>
      <c r="D15" s="236" t="s">
        <v>194</v>
      </c>
      <c r="E15" s="236">
        <v>0</v>
      </c>
      <c r="F15" s="24"/>
      <c r="G15" s="24"/>
      <c r="H15" s="24"/>
      <c r="I15" s="71"/>
      <c r="J15" s="71"/>
      <c r="K15" s="71"/>
      <c r="L15" s="71"/>
      <c r="M15" s="71"/>
      <c r="N15" s="71"/>
      <c r="O15" s="71"/>
      <c r="P15" s="71"/>
      <c r="Q15" s="71"/>
      <c r="R15" s="71"/>
      <c r="S15" s="71"/>
      <c r="T15" s="71"/>
      <c r="U15" s="71"/>
      <c r="V15" s="71"/>
    </row>
    <row r="16" spans="1:22" ht="15.65" customHeight="1" x14ac:dyDescent="0.35">
      <c r="A16" s="64" t="s">
        <v>162</v>
      </c>
      <c r="B16" s="236" t="s">
        <v>194</v>
      </c>
      <c r="C16" s="236">
        <v>0</v>
      </c>
      <c r="D16" s="236">
        <v>0</v>
      </c>
      <c r="E16" s="236">
        <v>0</v>
      </c>
      <c r="F16" s="16"/>
      <c r="G16" s="16"/>
      <c r="H16" s="16"/>
      <c r="I16" s="16"/>
      <c r="J16" s="16"/>
      <c r="K16" s="16"/>
      <c r="L16" s="16"/>
      <c r="M16" s="11"/>
    </row>
    <row r="17" spans="1:13" ht="15.65" customHeight="1" x14ac:dyDescent="0.35">
      <c r="A17" s="64" t="s">
        <v>163</v>
      </c>
      <c r="B17" s="236">
        <v>5</v>
      </c>
      <c r="C17" s="236" t="s">
        <v>194</v>
      </c>
      <c r="D17" s="236" t="s">
        <v>194</v>
      </c>
      <c r="E17" s="236" t="s">
        <v>194</v>
      </c>
      <c r="F17" s="16"/>
      <c r="G17" s="16"/>
      <c r="H17" s="16"/>
      <c r="I17" s="16"/>
      <c r="J17" s="16"/>
      <c r="K17" s="16"/>
      <c r="L17" s="16"/>
      <c r="M17" s="11"/>
    </row>
    <row r="18" spans="1:13" ht="15.65" customHeight="1" x14ac:dyDescent="0.35">
      <c r="A18" s="64" t="s">
        <v>164</v>
      </c>
      <c r="B18" s="236">
        <v>0</v>
      </c>
      <c r="C18" s="236">
        <v>5</v>
      </c>
      <c r="D18" s="236" t="s">
        <v>194</v>
      </c>
      <c r="E18" s="236">
        <v>5</v>
      </c>
      <c r="F18" s="16"/>
      <c r="G18" s="16"/>
      <c r="H18" s="16"/>
      <c r="I18" s="16"/>
      <c r="J18" s="16"/>
      <c r="K18" s="16"/>
      <c r="L18" s="16"/>
      <c r="M18" s="11"/>
    </row>
    <row r="19" spans="1:13" ht="15.65" customHeight="1" x14ac:dyDescent="0.35">
      <c r="A19" s="64" t="s">
        <v>165</v>
      </c>
      <c r="B19" s="236">
        <v>0</v>
      </c>
      <c r="C19" s="236">
        <v>0</v>
      </c>
      <c r="D19" s="236">
        <v>0</v>
      </c>
      <c r="E19" s="236">
        <v>0</v>
      </c>
      <c r="F19" s="16"/>
      <c r="G19" s="16"/>
      <c r="H19" s="16"/>
      <c r="I19" s="16"/>
      <c r="J19" s="16"/>
      <c r="K19" s="16"/>
      <c r="L19" s="16"/>
      <c r="M19" s="11"/>
    </row>
    <row r="20" spans="1:13" ht="15.65" customHeight="1" x14ac:dyDescent="0.35">
      <c r="A20" s="64" t="s">
        <v>166</v>
      </c>
      <c r="B20" s="236" t="s">
        <v>194</v>
      </c>
      <c r="C20" s="236">
        <v>5</v>
      </c>
      <c r="D20" s="236" t="s">
        <v>194</v>
      </c>
      <c r="E20" s="236">
        <v>5</v>
      </c>
      <c r="F20" s="16"/>
      <c r="G20" s="16"/>
      <c r="H20" s="16"/>
      <c r="I20" s="16"/>
      <c r="J20" s="16"/>
      <c r="K20" s="16"/>
      <c r="L20" s="16"/>
      <c r="M20" s="11"/>
    </row>
    <row r="21" spans="1:13" ht="15.65" customHeight="1" x14ac:dyDescent="0.35">
      <c r="A21" s="64" t="s">
        <v>167</v>
      </c>
      <c r="B21" s="236" t="s">
        <v>194</v>
      </c>
      <c r="C21" s="236" t="s">
        <v>194</v>
      </c>
      <c r="D21" s="236">
        <v>0</v>
      </c>
      <c r="E21" s="236" t="s">
        <v>194</v>
      </c>
      <c r="F21" s="16"/>
      <c r="G21" s="16"/>
      <c r="H21" s="16"/>
      <c r="I21" s="16"/>
      <c r="J21" s="16"/>
      <c r="K21" s="16"/>
      <c r="L21" s="16"/>
      <c r="M21" s="11"/>
    </row>
    <row r="22" spans="1:13" ht="15.65" customHeight="1" x14ac:dyDescent="0.35">
      <c r="A22" s="64" t="s">
        <v>168</v>
      </c>
      <c r="B22" s="236" t="s">
        <v>194</v>
      </c>
      <c r="C22" s="236">
        <v>0</v>
      </c>
      <c r="D22" s="236">
        <v>0</v>
      </c>
      <c r="E22" s="236">
        <v>0</v>
      </c>
      <c r="F22" s="16"/>
      <c r="G22" s="16"/>
      <c r="H22" s="16"/>
      <c r="I22" s="16"/>
      <c r="J22" s="16"/>
      <c r="K22" s="16"/>
      <c r="L22" s="16"/>
      <c r="M22" s="11"/>
    </row>
    <row r="23" spans="1:13" ht="15.65" customHeight="1" x14ac:dyDescent="0.35">
      <c r="A23" s="65" t="s">
        <v>169</v>
      </c>
      <c r="B23" s="236" t="s">
        <v>194</v>
      </c>
      <c r="C23" s="236">
        <v>0</v>
      </c>
      <c r="D23" s="236">
        <v>0</v>
      </c>
      <c r="E23" s="236">
        <v>0</v>
      </c>
      <c r="F23" s="16"/>
      <c r="G23" s="16"/>
      <c r="H23" s="16"/>
      <c r="I23" s="16"/>
      <c r="J23" s="16"/>
      <c r="K23" s="16"/>
      <c r="L23" s="16"/>
      <c r="M23" s="11"/>
    </row>
    <row r="24" spans="1:13" ht="15.65" customHeight="1" x14ac:dyDescent="0.35">
      <c r="A24" s="66" t="s">
        <v>170</v>
      </c>
      <c r="B24" s="236">
        <v>0</v>
      </c>
      <c r="C24" s="236" t="s">
        <v>194</v>
      </c>
      <c r="D24" s="236" t="s">
        <v>194</v>
      </c>
      <c r="E24" s="236">
        <v>0</v>
      </c>
    </row>
    <row r="25" spans="1:13" ht="15.65" customHeight="1" x14ac:dyDescent="0.35">
      <c r="A25" s="66" t="s">
        <v>154</v>
      </c>
      <c r="B25" s="236">
        <v>0</v>
      </c>
      <c r="C25" s="236">
        <v>5</v>
      </c>
      <c r="D25" s="236" t="s">
        <v>194</v>
      </c>
      <c r="E25" s="236">
        <v>5</v>
      </c>
    </row>
    <row r="26" spans="1:13" ht="15.65" customHeight="1" x14ac:dyDescent="0.35">
      <c r="A26" s="66" t="s">
        <v>171</v>
      </c>
      <c r="B26" s="236">
        <v>0</v>
      </c>
      <c r="C26" s="236">
        <v>0</v>
      </c>
      <c r="D26" s="236">
        <v>0</v>
      </c>
      <c r="E26" s="236">
        <v>0</v>
      </c>
    </row>
    <row r="27" spans="1:13" ht="15.65" customHeight="1" x14ac:dyDescent="0.35">
      <c r="A27" s="66" t="s">
        <v>172</v>
      </c>
      <c r="B27" s="236">
        <v>0</v>
      </c>
      <c r="C27" s="236">
        <v>0</v>
      </c>
      <c r="D27" s="236">
        <v>0</v>
      </c>
      <c r="E27" s="236">
        <v>0</v>
      </c>
    </row>
    <row r="28" spans="1:13" ht="15.65" customHeight="1" x14ac:dyDescent="0.35">
      <c r="A28" s="66" t="s">
        <v>173</v>
      </c>
      <c r="B28" s="236">
        <v>0</v>
      </c>
      <c r="C28" s="236">
        <v>0</v>
      </c>
      <c r="D28" s="236">
        <v>0</v>
      </c>
      <c r="E28" s="236">
        <v>0</v>
      </c>
    </row>
    <row r="29" spans="1:13" ht="15.65" customHeight="1" x14ac:dyDescent="0.35">
      <c r="A29" s="126" t="s">
        <v>223</v>
      </c>
      <c r="B29" s="236">
        <v>0</v>
      </c>
      <c r="C29" s="236">
        <v>0</v>
      </c>
      <c r="D29" s="236">
        <v>0</v>
      </c>
      <c r="E29" s="236">
        <v>0</v>
      </c>
    </row>
    <row r="30" spans="1:13" ht="15.65" customHeight="1" x14ac:dyDescent="0.35">
      <c r="A30" s="195" t="s">
        <v>334</v>
      </c>
      <c r="B30" s="236">
        <v>0</v>
      </c>
      <c r="C30" s="236">
        <v>0</v>
      </c>
      <c r="D30" s="236">
        <v>0</v>
      </c>
      <c r="E30" s="236">
        <v>0</v>
      </c>
    </row>
    <row r="31" spans="1:13" ht="15.65" customHeight="1" x14ac:dyDescent="0.35">
      <c r="A31" s="195" t="s">
        <v>335</v>
      </c>
      <c r="B31" s="236" t="s">
        <v>194</v>
      </c>
      <c r="C31" s="236">
        <v>0</v>
      </c>
      <c r="D31" s="236">
        <v>0</v>
      </c>
      <c r="E31" s="236">
        <v>0</v>
      </c>
    </row>
    <row r="32" spans="1:13" ht="15.65" customHeight="1" x14ac:dyDescent="0.35">
      <c r="A32" s="195" t="s">
        <v>336</v>
      </c>
      <c r="B32" s="236" t="s">
        <v>194</v>
      </c>
      <c r="C32" s="236">
        <v>0</v>
      </c>
      <c r="D32" s="236">
        <v>0</v>
      </c>
      <c r="E32" s="236">
        <v>0</v>
      </c>
    </row>
    <row r="33" spans="1:10" ht="15.65" customHeight="1" x14ac:dyDescent="0.35">
      <c r="A33" s="249" t="s">
        <v>366</v>
      </c>
      <c r="B33" s="236" t="s">
        <v>194</v>
      </c>
      <c r="C33" s="236">
        <v>0</v>
      </c>
      <c r="D33" s="236">
        <v>0</v>
      </c>
      <c r="E33" s="236">
        <v>0</v>
      </c>
    </row>
    <row r="34" spans="1:10" ht="15.65" customHeight="1" x14ac:dyDescent="0.35">
      <c r="A34" s="249" t="s">
        <v>367</v>
      </c>
      <c r="B34" s="236" t="s">
        <v>194</v>
      </c>
      <c r="C34" s="236" t="s">
        <v>194</v>
      </c>
      <c r="D34" s="236">
        <v>0</v>
      </c>
      <c r="E34" s="236" t="s">
        <v>194</v>
      </c>
    </row>
    <row r="35" spans="1:10" ht="15.65" customHeight="1" thickBot="1" x14ac:dyDescent="0.4">
      <c r="A35" s="263" t="s">
        <v>368</v>
      </c>
      <c r="B35" s="236">
        <v>0</v>
      </c>
      <c r="C35" s="236">
        <v>5</v>
      </c>
      <c r="D35" s="236">
        <v>0</v>
      </c>
      <c r="E35" s="236">
        <v>5</v>
      </c>
    </row>
    <row r="36" spans="1:10" ht="15.65" customHeight="1" x14ac:dyDescent="0.35">
      <c r="A36" s="34" t="s">
        <v>7</v>
      </c>
      <c r="B36" s="24"/>
      <c r="C36" s="24"/>
      <c r="D36" s="24"/>
      <c r="E36" s="24"/>
    </row>
    <row r="37" spans="1:10" ht="15.65" customHeight="1" x14ac:dyDescent="0.35">
      <c r="A37" s="34" t="s">
        <v>15</v>
      </c>
      <c r="B37" s="24"/>
      <c r="C37" s="24"/>
      <c r="D37" s="24"/>
      <c r="E37" s="24"/>
    </row>
    <row r="38" spans="1:10" ht="15.65" customHeight="1" x14ac:dyDescent="0.35">
      <c r="A38" s="24" t="s">
        <v>259</v>
      </c>
      <c r="B38" s="24"/>
      <c r="C38" s="24"/>
      <c r="D38" s="24"/>
      <c r="E38" s="24"/>
    </row>
    <row r="39" spans="1:10" ht="15.65" customHeight="1" x14ac:dyDescent="0.35">
      <c r="A39" s="24" t="s">
        <v>260</v>
      </c>
      <c r="B39" s="24"/>
      <c r="C39" s="24"/>
      <c r="D39" s="24"/>
      <c r="E39" s="24"/>
      <c r="F39" s="24"/>
      <c r="G39" s="24"/>
      <c r="H39" s="24"/>
      <c r="I39" s="24"/>
      <c r="J39" s="24"/>
    </row>
    <row r="40" spans="1:10" ht="15.65" customHeight="1" x14ac:dyDescent="0.35">
      <c r="A40" s="24" t="s">
        <v>183</v>
      </c>
      <c r="F40" s="24"/>
      <c r="G40" s="24"/>
      <c r="H40" s="24"/>
      <c r="I40" s="24"/>
      <c r="J40" s="24"/>
    </row>
    <row r="41" spans="1:10" ht="15.65" customHeight="1" x14ac:dyDescent="0.35">
      <c r="F41" s="24"/>
      <c r="G41" s="24"/>
      <c r="H41" s="24"/>
      <c r="I41" s="24"/>
      <c r="J41" s="24"/>
    </row>
    <row r="42" spans="1:10" ht="15.65" customHeight="1" x14ac:dyDescent="0.35">
      <c r="F42" s="24"/>
      <c r="G42" s="24"/>
      <c r="H42" s="24"/>
      <c r="I42" s="24"/>
      <c r="J42" s="24"/>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3"/>
  <sheetViews>
    <sheetView zoomScaleNormal="100" workbookViewId="0"/>
  </sheetViews>
  <sheetFormatPr defaultRowHeight="14.5" x14ac:dyDescent="0.35"/>
  <cols>
    <col min="1" max="1" width="74.81640625" customWidth="1"/>
  </cols>
  <sheetData>
    <row r="1" spans="1:9" ht="23.5" x14ac:dyDescent="0.55000000000000004">
      <c r="A1" s="226" t="s">
        <v>264</v>
      </c>
      <c r="B1" s="225"/>
      <c r="C1" s="225"/>
      <c r="D1" s="225"/>
      <c r="E1" s="225"/>
      <c r="F1" s="225"/>
      <c r="G1" s="225"/>
      <c r="H1" s="225"/>
      <c r="I1" s="225"/>
    </row>
    <row r="2" spans="1:9" x14ac:dyDescent="0.35">
      <c r="A2" t="s">
        <v>339</v>
      </c>
    </row>
    <row r="3" spans="1:9" ht="60" customHeight="1" x14ac:dyDescent="0.35">
      <c r="A3" s="227" t="s">
        <v>340</v>
      </c>
    </row>
  </sheetData>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27"/>
  <sheetViews>
    <sheetView zoomScaleNormal="100" workbookViewId="0"/>
  </sheetViews>
  <sheetFormatPr defaultRowHeight="14.5" x14ac:dyDescent="0.35"/>
  <cols>
    <col min="1" max="1" width="75.54296875" customWidth="1"/>
    <col min="2" max="2" width="11.81640625" customWidth="1"/>
    <col min="3" max="3" width="10.81640625" customWidth="1"/>
    <col min="4" max="4" width="11.54296875" customWidth="1"/>
  </cols>
  <sheetData>
    <row r="1" spans="1:4" ht="23.5" x14ac:dyDescent="0.55000000000000004">
      <c r="A1" s="226" t="s">
        <v>265</v>
      </c>
    </row>
    <row r="2" spans="1:4" x14ac:dyDescent="0.35">
      <c r="A2" s="11" t="s">
        <v>339</v>
      </c>
      <c r="B2" s="3"/>
    </row>
    <row r="3" spans="1:4" ht="74.150000000000006" customHeight="1" x14ac:dyDescent="0.35">
      <c r="A3" s="227" t="s">
        <v>341</v>
      </c>
      <c r="B3" s="2"/>
      <c r="C3" s="1"/>
      <c r="D3" s="2"/>
    </row>
    <row r="4" spans="1:4" x14ac:dyDescent="0.35">
      <c r="A4" s="2"/>
    </row>
    <row r="5" spans="1:4" x14ac:dyDescent="0.35">
      <c r="A5" s="2"/>
      <c r="B5" s="2"/>
      <c r="C5" s="1"/>
      <c r="D5" s="2"/>
    </row>
    <row r="6" spans="1:4" x14ac:dyDescent="0.35">
      <c r="A6" s="2"/>
      <c r="B6" s="2"/>
      <c r="C6" s="2"/>
      <c r="D6" s="1"/>
    </row>
    <row r="7" spans="1:4" x14ac:dyDescent="0.35">
      <c r="A7" s="2"/>
      <c r="B7" s="2"/>
      <c r="C7" s="2"/>
    </row>
    <row r="8" spans="1:4" x14ac:dyDescent="0.35">
      <c r="C8" s="2"/>
    </row>
    <row r="9" spans="1:4" x14ac:dyDescent="0.35">
      <c r="C9" s="2"/>
    </row>
    <row r="10" spans="1:4" x14ac:dyDescent="0.35">
      <c r="C10" s="2"/>
    </row>
    <row r="11" spans="1:4" x14ac:dyDescent="0.35">
      <c r="C11" s="2"/>
    </row>
    <row r="19" spans="1:8" x14ac:dyDescent="0.35">
      <c r="A19" s="31"/>
    </row>
    <row r="20" spans="1:8" ht="15" customHeight="1" x14ac:dyDescent="0.35">
      <c r="B20" s="6"/>
      <c r="C20" s="6"/>
      <c r="D20" s="6"/>
      <c r="E20" s="6"/>
      <c r="F20" s="6"/>
      <c r="G20" s="6"/>
      <c r="H20" s="6"/>
    </row>
    <row r="21" spans="1:8" ht="18" customHeight="1" x14ac:dyDescent="0.35">
      <c r="B21" s="74"/>
      <c r="C21" s="74"/>
      <c r="D21" s="74"/>
      <c r="E21" s="74"/>
      <c r="F21" s="74"/>
      <c r="G21" s="74"/>
      <c r="H21" s="74"/>
    </row>
    <row r="22" spans="1:8" ht="15" customHeight="1" x14ac:dyDescent="0.35">
      <c r="B22" s="75"/>
      <c r="C22" s="75"/>
      <c r="D22" s="75"/>
      <c r="E22" s="75"/>
      <c r="F22" s="75"/>
      <c r="G22" s="75"/>
      <c r="H22" s="75"/>
    </row>
    <row r="23" spans="1:8" x14ac:dyDescent="0.35">
      <c r="A23" s="6"/>
    </row>
    <row r="24" spans="1:8" x14ac:dyDescent="0.35">
      <c r="A24" s="76"/>
    </row>
    <row r="25" spans="1:8" x14ac:dyDescent="0.35">
      <c r="A25" s="77"/>
    </row>
    <row r="26" spans="1:8" x14ac:dyDescent="0.35">
      <c r="A26" s="39"/>
    </row>
    <row r="27" spans="1:8" x14ac:dyDescent="0.35">
      <c r="A27" s="3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Q266"/>
  <sheetViews>
    <sheetView zoomScaleNormal="100" workbookViewId="0"/>
  </sheetViews>
  <sheetFormatPr defaultRowHeight="14.5" x14ac:dyDescent="0.35"/>
  <cols>
    <col min="1" max="1" width="38.81640625" customWidth="1"/>
    <col min="2" max="2" width="14.1796875" customWidth="1"/>
    <col min="3" max="3" width="40.54296875" customWidth="1"/>
    <col min="4" max="4" width="29.1796875" customWidth="1"/>
    <col min="5" max="5" width="25" customWidth="1"/>
    <col min="6" max="6" width="47.1796875" customWidth="1"/>
    <col min="8" max="8" width="11.453125" customWidth="1"/>
  </cols>
  <sheetData>
    <row r="1" spans="1:10" ht="62" x14ac:dyDescent="0.35">
      <c r="A1" s="216" t="s">
        <v>338</v>
      </c>
      <c r="B1" s="20" t="s">
        <v>12</v>
      </c>
      <c r="C1" s="20" t="s">
        <v>184</v>
      </c>
      <c r="D1" s="20" t="s">
        <v>14</v>
      </c>
      <c r="E1" s="20" t="s">
        <v>326</v>
      </c>
      <c r="F1" s="218" t="s">
        <v>185</v>
      </c>
      <c r="H1" s="37" t="s">
        <v>112</v>
      </c>
    </row>
    <row r="2" spans="1:10" x14ac:dyDescent="0.35">
      <c r="A2" s="217" t="s">
        <v>16</v>
      </c>
      <c r="B2" s="219">
        <v>85</v>
      </c>
      <c r="C2" s="220">
        <v>0.02</v>
      </c>
      <c r="D2" s="219">
        <v>75</v>
      </c>
      <c r="E2" s="219">
        <v>55</v>
      </c>
      <c r="F2" s="221">
        <v>0.73</v>
      </c>
      <c r="H2" t="s">
        <v>109</v>
      </c>
      <c r="J2" s="39"/>
    </row>
    <row r="3" spans="1:10" x14ac:dyDescent="0.35">
      <c r="A3" s="217" t="s">
        <v>17</v>
      </c>
      <c r="B3" s="219">
        <v>215</v>
      </c>
      <c r="C3" s="220">
        <v>0.02</v>
      </c>
      <c r="D3" s="219">
        <v>210</v>
      </c>
      <c r="E3" s="219">
        <v>160</v>
      </c>
      <c r="F3" s="221">
        <v>0.76</v>
      </c>
      <c r="H3" t="s">
        <v>110</v>
      </c>
      <c r="J3" s="39"/>
    </row>
    <row r="4" spans="1:10" x14ac:dyDescent="0.35">
      <c r="A4" s="217" t="s">
        <v>18</v>
      </c>
      <c r="B4" s="219">
        <v>150</v>
      </c>
      <c r="C4" s="220">
        <v>0.02</v>
      </c>
      <c r="D4" s="219">
        <v>140</v>
      </c>
      <c r="E4" s="219">
        <v>110</v>
      </c>
      <c r="F4" s="221">
        <v>0.8</v>
      </c>
      <c r="H4" t="s">
        <v>111</v>
      </c>
      <c r="J4" s="39"/>
    </row>
    <row r="5" spans="1:10" x14ac:dyDescent="0.35">
      <c r="A5" s="217" t="s">
        <v>120</v>
      </c>
      <c r="B5" s="219">
        <v>450</v>
      </c>
      <c r="C5" s="220">
        <v>0.02</v>
      </c>
      <c r="D5" s="219">
        <v>425</v>
      </c>
      <c r="E5" s="219">
        <v>325</v>
      </c>
      <c r="F5" s="221">
        <v>0.77</v>
      </c>
      <c r="H5" t="s">
        <v>119</v>
      </c>
      <c r="J5" s="39"/>
    </row>
    <row r="6" spans="1:10" x14ac:dyDescent="0.35">
      <c r="A6" s="217" t="s">
        <v>19</v>
      </c>
      <c r="B6" s="219">
        <v>85</v>
      </c>
      <c r="C6" s="220">
        <v>0.02</v>
      </c>
      <c r="D6" s="219">
        <v>70</v>
      </c>
      <c r="E6" s="219">
        <v>55</v>
      </c>
      <c r="F6" s="221">
        <v>0.77</v>
      </c>
      <c r="J6" s="39"/>
    </row>
    <row r="7" spans="1:10" x14ac:dyDescent="0.35">
      <c r="A7" s="217" t="s">
        <v>20</v>
      </c>
      <c r="B7" s="219">
        <v>155</v>
      </c>
      <c r="C7" s="220">
        <v>0.02</v>
      </c>
      <c r="D7" s="219">
        <v>150</v>
      </c>
      <c r="E7" s="219">
        <v>105</v>
      </c>
      <c r="F7" s="221">
        <v>0.7</v>
      </c>
      <c r="J7" s="39"/>
    </row>
    <row r="8" spans="1:10" x14ac:dyDescent="0.35">
      <c r="A8" s="217" t="s">
        <v>21</v>
      </c>
      <c r="B8" s="219">
        <v>110</v>
      </c>
      <c r="C8" s="220">
        <v>0.02</v>
      </c>
      <c r="D8" s="219">
        <v>110</v>
      </c>
      <c r="E8" s="219">
        <v>90</v>
      </c>
      <c r="F8" s="221">
        <v>0.81</v>
      </c>
      <c r="J8" s="39"/>
    </row>
    <row r="9" spans="1:10" x14ac:dyDescent="0.35">
      <c r="A9" s="217" t="s">
        <v>121</v>
      </c>
      <c r="B9" s="219">
        <v>350</v>
      </c>
      <c r="C9" s="220">
        <v>0.02</v>
      </c>
      <c r="D9" s="219">
        <v>335</v>
      </c>
      <c r="E9" s="219">
        <v>250</v>
      </c>
      <c r="F9" s="221">
        <v>0.75</v>
      </c>
      <c r="J9" s="39"/>
    </row>
    <row r="10" spans="1:10" x14ac:dyDescent="0.35">
      <c r="A10" s="217" t="s">
        <v>22</v>
      </c>
      <c r="B10" s="219">
        <v>50</v>
      </c>
      <c r="C10" s="220">
        <v>0.01</v>
      </c>
      <c r="D10" s="219">
        <v>45</v>
      </c>
      <c r="E10" s="219">
        <v>35</v>
      </c>
      <c r="F10" s="221">
        <v>0.77</v>
      </c>
      <c r="J10" s="39"/>
    </row>
    <row r="11" spans="1:10" x14ac:dyDescent="0.35">
      <c r="A11" s="217" t="s">
        <v>23</v>
      </c>
      <c r="B11" s="219">
        <v>140</v>
      </c>
      <c r="C11" s="220">
        <v>0.02</v>
      </c>
      <c r="D11" s="219">
        <v>140</v>
      </c>
      <c r="E11" s="219">
        <v>95</v>
      </c>
      <c r="F11" s="221">
        <v>0.7</v>
      </c>
      <c r="J11" s="39"/>
    </row>
    <row r="12" spans="1:10" x14ac:dyDescent="0.35">
      <c r="A12" s="217" t="s">
        <v>24</v>
      </c>
      <c r="B12" s="219">
        <v>85</v>
      </c>
      <c r="C12" s="220">
        <v>0.01</v>
      </c>
      <c r="D12" s="219">
        <v>75</v>
      </c>
      <c r="E12" s="219">
        <v>60</v>
      </c>
      <c r="F12" s="221">
        <v>0.76</v>
      </c>
      <c r="J12" s="39"/>
    </row>
    <row r="13" spans="1:10" x14ac:dyDescent="0.35">
      <c r="A13" s="217" t="s">
        <v>122</v>
      </c>
      <c r="B13" s="219">
        <v>270</v>
      </c>
      <c r="C13" s="220">
        <v>0.01</v>
      </c>
      <c r="D13" s="219">
        <v>260</v>
      </c>
      <c r="E13" s="219">
        <v>190</v>
      </c>
      <c r="F13" s="221">
        <v>0.73</v>
      </c>
      <c r="J13" s="39"/>
    </row>
    <row r="14" spans="1:10" x14ac:dyDescent="0.35">
      <c r="A14" s="217" t="s">
        <v>274</v>
      </c>
      <c r="B14" s="219">
        <v>60</v>
      </c>
      <c r="C14" s="220">
        <v>0.01</v>
      </c>
      <c r="D14" s="219">
        <v>50</v>
      </c>
      <c r="E14" s="219">
        <v>40</v>
      </c>
      <c r="F14" s="221">
        <v>0.82</v>
      </c>
      <c r="J14" s="39"/>
    </row>
    <row r="15" spans="1:10" x14ac:dyDescent="0.35">
      <c r="A15" s="217" t="s">
        <v>275</v>
      </c>
      <c r="B15" s="219">
        <v>80</v>
      </c>
      <c r="C15" s="220">
        <v>0.01</v>
      </c>
      <c r="D15" s="219">
        <v>85</v>
      </c>
      <c r="E15" s="219">
        <v>60</v>
      </c>
      <c r="F15" s="221">
        <v>0.73</v>
      </c>
      <c r="J15" s="39"/>
    </row>
    <row r="16" spans="1:10" x14ac:dyDescent="0.35">
      <c r="A16" s="217" t="s">
        <v>276</v>
      </c>
      <c r="B16" s="219">
        <v>65</v>
      </c>
      <c r="C16" s="220">
        <v>0.01</v>
      </c>
      <c r="D16" s="219">
        <v>60</v>
      </c>
      <c r="E16" s="219">
        <v>50</v>
      </c>
      <c r="F16" s="221">
        <v>0.85</v>
      </c>
      <c r="J16" s="39"/>
    </row>
    <row r="17" spans="1:17" x14ac:dyDescent="0.35">
      <c r="A17" s="217" t="s">
        <v>277</v>
      </c>
      <c r="B17" s="219">
        <v>205</v>
      </c>
      <c r="C17" s="220">
        <v>0.01</v>
      </c>
      <c r="D17" s="219">
        <v>195</v>
      </c>
      <c r="E17" s="219">
        <v>155</v>
      </c>
      <c r="F17" s="221">
        <v>0.79</v>
      </c>
      <c r="J17" s="39"/>
    </row>
    <row r="18" spans="1:17" x14ac:dyDescent="0.35">
      <c r="A18" s="217" t="s">
        <v>25</v>
      </c>
      <c r="B18" s="219">
        <v>50</v>
      </c>
      <c r="C18" s="220">
        <v>0.01</v>
      </c>
      <c r="D18" s="219">
        <v>40</v>
      </c>
      <c r="E18" s="219">
        <v>35</v>
      </c>
      <c r="F18" s="221">
        <v>0.8</v>
      </c>
      <c r="J18" s="39"/>
    </row>
    <row r="19" spans="1:17" x14ac:dyDescent="0.35">
      <c r="A19" s="217" t="s">
        <v>26</v>
      </c>
      <c r="B19" s="219">
        <v>110</v>
      </c>
      <c r="C19" s="220">
        <v>0.01</v>
      </c>
      <c r="D19" s="219">
        <v>110</v>
      </c>
      <c r="E19" s="219">
        <v>85</v>
      </c>
      <c r="F19" s="221">
        <v>0.79</v>
      </c>
      <c r="J19" s="39"/>
    </row>
    <row r="20" spans="1:17" x14ac:dyDescent="0.35">
      <c r="A20" s="217" t="s">
        <v>27</v>
      </c>
      <c r="B20" s="219">
        <v>75</v>
      </c>
      <c r="C20" s="220">
        <v>0.01</v>
      </c>
      <c r="D20" s="219">
        <v>75</v>
      </c>
      <c r="E20" s="219">
        <v>60</v>
      </c>
      <c r="F20" s="221">
        <v>0.75</v>
      </c>
      <c r="J20" s="39"/>
    </row>
    <row r="21" spans="1:17" x14ac:dyDescent="0.35">
      <c r="A21" s="217" t="s">
        <v>123</v>
      </c>
      <c r="B21" s="219">
        <v>235</v>
      </c>
      <c r="C21" s="220">
        <v>0.01</v>
      </c>
      <c r="D21" s="219">
        <v>230</v>
      </c>
      <c r="E21" s="219">
        <v>180</v>
      </c>
      <c r="F21" s="221">
        <v>0.78</v>
      </c>
      <c r="J21" s="39"/>
    </row>
    <row r="22" spans="1:17" x14ac:dyDescent="0.35">
      <c r="A22" s="217" t="s">
        <v>190</v>
      </c>
      <c r="B22" s="219">
        <v>95</v>
      </c>
      <c r="C22" s="220">
        <v>0.02</v>
      </c>
      <c r="D22" s="219">
        <v>80</v>
      </c>
      <c r="E22" s="219">
        <v>70</v>
      </c>
      <c r="F22" s="221">
        <v>0.87</v>
      </c>
      <c r="J22" s="39"/>
    </row>
    <row r="23" spans="1:17" x14ac:dyDescent="0.35">
      <c r="A23" s="217" t="s">
        <v>191</v>
      </c>
      <c r="B23" s="219">
        <v>205</v>
      </c>
      <c r="C23" s="220">
        <v>0.02</v>
      </c>
      <c r="D23" s="219">
        <v>205</v>
      </c>
      <c r="E23" s="219">
        <v>150</v>
      </c>
      <c r="F23" s="221">
        <v>0.75</v>
      </c>
      <c r="J23" s="39"/>
    </row>
    <row r="24" spans="1:17" x14ac:dyDescent="0.35">
      <c r="A24" s="217" t="s">
        <v>192</v>
      </c>
      <c r="B24" s="219">
        <v>130</v>
      </c>
      <c r="C24" s="220">
        <v>0.02</v>
      </c>
      <c r="D24" s="219">
        <v>130</v>
      </c>
      <c r="E24" s="219">
        <v>100</v>
      </c>
      <c r="F24" s="221">
        <v>0.75</v>
      </c>
      <c r="J24" s="39"/>
    </row>
    <row r="25" spans="1:17" x14ac:dyDescent="0.35">
      <c r="A25" s="217" t="s">
        <v>193</v>
      </c>
      <c r="B25" s="219">
        <v>435</v>
      </c>
      <c r="C25" s="220">
        <v>0.02</v>
      </c>
      <c r="D25" s="219">
        <v>415</v>
      </c>
      <c r="E25" s="219">
        <v>320</v>
      </c>
      <c r="F25" s="221">
        <v>0.77</v>
      </c>
      <c r="J25" s="39"/>
    </row>
    <row r="26" spans="1:17" x14ac:dyDescent="0.35">
      <c r="A26" s="217" t="s">
        <v>28</v>
      </c>
      <c r="B26" s="219">
        <v>175</v>
      </c>
      <c r="C26" s="220">
        <v>0.04</v>
      </c>
      <c r="D26" s="219">
        <v>155</v>
      </c>
      <c r="E26" s="219">
        <v>125</v>
      </c>
      <c r="F26" s="221">
        <v>0.83</v>
      </c>
      <c r="J26" s="39"/>
      <c r="Q26" s="11"/>
    </row>
    <row r="27" spans="1:17" x14ac:dyDescent="0.35">
      <c r="A27" s="217" t="s">
        <v>29</v>
      </c>
      <c r="B27" s="219">
        <v>355</v>
      </c>
      <c r="C27" s="220">
        <v>0.04</v>
      </c>
      <c r="D27" s="219">
        <v>360</v>
      </c>
      <c r="E27" s="219">
        <v>290</v>
      </c>
      <c r="F27" s="221">
        <v>0.81</v>
      </c>
      <c r="J27" s="39"/>
      <c r="N27" s="11"/>
      <c r="P27" s="11"/>
      <c r="Q27" s="11"/>
    </row>
    <row r="28" spans="1:17" x14ac:dyDescent="0.35">
      <c r="A28" s="217" t="s">
        <v>30</v>
      </c>
      <c r="B28" s="219">
        <v>230</v>
      </c>
      <c r="C28" s="220">
        <v>0.04</v>
      </c>
      <c r="D28" s="219">
        <v>215</v>
      </c>
      <c r="E28" s="219">
        <v>175</v>
      </c>
      <c r="F28" s="221">
        <v>0.83</v>
      </c>
      <c r="J28" s="39"/>
      <c r="N28" s="11"/>
      <c r="P28" s="11"/>
      <c r="Q28" s="11"/>
    </row>
    <row r="29" spans="1:17" x14ac:dyDescent="0.35">
      <c r="A29" s="217" t="s">
        <v>124</v>
      </c>
      <c r="B29" s="219">
        <v>760</v>
      </c>
      <c r="C29" s="220">
        <v>0.04</v>
      </c>
      <c r="D29" s="219">
        <v>725</v>
      </c>
      <c r="E29" s="219">
        <v>595</v>
      </c>
      <c r="F29" s="221">
        <v>0.82</v>
      </c>
      <c r="J29" s="39"/>
      <c r="N29" s="11"/>
      <c r="P29" s="11"/>
      <c r="Q29" s="11"/>
    </row>
    <row r="30" spans="1:17" x14ac:dyDescent="0.35">
      <c r="A30" s="217" t="s">
        <v>31</v>
      </c>
      <c r="B30" s="219">
        <v>130</v>
      </c>
      <c r="C30" s="220">
        <v>0.03</v>
      </c>
      <c r="D30" s="219">
        <v>115</v>
      </c>
      <c r="E30" s="219">
        <v>85</v>
      </c>
      <c r="F30" s="221">
        <v>0.74</v>
      </c>
      <c r="J30" s="39"/>
      <c r="N30" s="11"/>
      <c r="P30" s="11"/>
      <c r="Q30" s="11"/>
    </row>
    <row r="31" spans="1:17" x14ac:dyDescent="0.35">
      <c r="A31" s="217" t="s">
        <v>32</v>
      </c>
      <c r="B31" s="219">
        <v>255</v>
      </c>
      <c r="C31" s="220">
        <v>0.03</v>
      </c>
      <c r="D31" s="219">
        <v>260</v>
      </c>
      <c r="E31" s="219">
        <v>205</v>
      </c>
      <c r="F31" s="221">
        <v>0.78</v>
      </c>
      <c r="J31" s="39"/>
      <c r="N31" s="11"/>
      <c r="P31" s="11"/>
      <c r="Q31" s="11"/>
    </row>
    <row r="32" spans="1:17" x14ac:dyDescent="0.35">
      <c r="A32" s="217" t="s">
        <v>33</v>
      </c>
      <c r="B32" s="219">
        <v>190</v>
      </c>
      <c r="C32" s="220">
        <v>0.03</v>
      </c>
      <c r="D32" s="219">
        <v>175</v>
      </c>
      <c r="E32" s="219">
        <v>130</v>
      </c>
      <c r="F32" s="221">
        <v>0.75</v>
      </c>
      <c r="J32" s="39"/>
      <c r="N32" s="11"/>
      <c r="P32" s="11"/>
      <c r="Q32" s="11"/>
    </row>
    <row r="33" spans="1:17" x14ac:dyDescent="0.35">
      <c r="A33" s="217" t="s">
        <v>125</v>
      </c>
      <c r="B33" s="219">
        <v>575</v>
      </c>
      <c r="C33" s="220">
        <v>0.03</v>
      </c>
      <c r="D33" s="219">
        <v>555</v>
      </c>
      <c r="E33" s="219">
        <v>420</v>
      </c>
      <c r="F33" s="221">
        <v>0.76</v>
      </c>
      <c r="J33" s="39"/>
      <c r="N33" s="11"/>
      <c r="P33" s="11"/>
      <c r="Q33" s="11"/>
    </row>
    <row r="34" spans="1:17" x14ac:dyDescent="0.35">
      <c r="A34" s="217" t="s">
        <v>34</v>
      </c>
      <c r="B34" s="219">
        <v>35</v>
      </c>
      <c r="C34" s="220">
        <v>0.01</v>
      </c>
      <c r="D34" s="219">
        <v>30</v>
      </c>
      <c r="E34" s="219">
        <v>25</v>
      </c>
      <c r="F34" s="221">
        <v>0.86</v>
      </c>
      <c r="J34" s="39"/>
      <c r="N34" s="11"/>
      <c r="P34" s="11"/>
      <c r="Q34" s="11"/>
    </row>
    <row r="35" spans="1:17" x14ac:dyDescent="0.35">
      <c r="A35" s="217" t="s">
        <v>35</v>
      </c>
      <c r="B35" s="219">
        <v>100</v>
      </c>
      <c r="C35" s="220">
        <v>0.01</v>
      </c>
      <c r="D35" s="219">
        <v>100</v>
      </c>
      <c r="E35" s="219">
        <v>75</v>
      </c>
      <c r="F35" s="221">
        <v>0.74</v>
      </c>
      <c r="J35" s="39"/>
      <c r="N35" s="11"/>
      <c r="P35" s="11"/>
      <c r="Q35" s="11"/>
    </row>
    <row r="36" spans="1:17" x14ac:dyDescent="0.35">
      <c r="A36" s="217" t="s">
        <v>36</v>
      </c>
      <c r="B36" s="219">
        <v>60</v>
      </c>
      <c r="C36" s="220">
        <v>0.01</v>
      </c>
      <c r="D36" s="219">
        <v>60</v>
      </c>
      <c r="E36" s="219">
        <v>45</v>
      </c>
      <c r="F36" s="221">
        <v>0.73</v>
      </c>
      <c r="J36" s="39"/>
      <c r="N36" s="11"/>
      <c r="P36" s="11"/>
      <c r="Q36" s="11"/>
    </row>
    <row r="37" spans="1:17" x14ac:dyDescent="0.35">
      <c r="A37" s="217" t="s">
        <v>126</v>
      </c>
      <c r="B37" s="219">
        <v>195</v>
      </c>
      <c r="C37" s="220">
        <v>0.01</v>
      </c>
      <c r="D37" s="219">
        <v>190</v>
      </c>
      <c r="E37" s="219">
        <v>145</v>
      </c>
      <c r="F37" s="221">
        <v>0.75</v>
      </c>
      <c r="J37" s="39"/>
      <c r="N37" s="11"/>
      <c r="P37" s="11"/>
      <c r="Q37" s="11"/>
    </row>
    <row r="38" spans="1:17" x14ac:dyDescent="0.35">
      <c r="A38" s="217" t="s">
        <v>37</v>
      </c>
      <c r="B38" s="219">
        <v>40</v>
      </c>
      <c r="C38" s="220">
        <v>0.01</v>
      </c>
      <c r="D38" s="219">
        <v>35</v>
      </c>
      <c r="E38" s="219">
        <v>25</v>
      </c>
      <c r="F38" s="221">
        <v>0.71</v>
      </c>
      <c r="J38" s="39"/>
      <c r="N38" s="11"/>
      <c r="P38" s="11"/>
      <c r="Q38" s="11"/>
    </row>
    <row r="39" spans="1:17" x14ac:dyDescent="0.35">
      <c r="A39" s="217" t="s">
        <v>38</v>
      </c>
      <c r="B39" s="219">
        <v>110</v>
      </c>
      <c r="C39" s="220">
        <v>0.01</v>
      </c>
      <c r="D39" s="219">
        <v>110</v>
      </c>
      <c r="E39" s="219">
        <v>75</v>
      </c>
      <c r="F39" s="221">
        <v>0.71</v>
      </c>
      <c r="J39" s="39"/>
      <c r="N39" s="11"/>
      <c r="P39" s="11"/>
      <c r="Q39" s="11"/>
    </row>
    <row r="40" spans="1:17" x14ac:dyDescent="0.35">
      <c r="A40" s="217" t="s">
        <v>39</v>
      </c>
      <c r="B40" s="219">
        <v>75</v>
      </c>
      <c r="C40" s="220">
        <v>0.01</v>
      </c>
      <c r="D40" s="219">
        <v>75</v>
      </c>
      <c r="E40" s="219">
        <v>60</v>
      </c>
      <c r="F40" s="221">
        <v>0.79</v>
      </c>
      <c r="J40" s="39"/>
      <c r="N40" s="11"/>
      <c r="P40" s="11"/>
      <c r="Q40" s="11"/>
    </row>
    <row r="41" spans="1:17" x14ac:dyDescent="0.35">
      <c r="A41" s="217" t="s">
        <v>127</v>
      </c>
      <c r="B41" s="219">
        <v>225</v>
      </c>
      <c r="C41" s="220">
        <v>0.01</v>
      </c>
      <c r="D41" s="219">
        <v>215</v>
      </c>
      <c r="E41" s="219">
        <v>160</v>
      </c>
      <c r="F41" s="221">
        <v>0.74</v>
      </c>
      <c r="J41" s="39"/>
      <c r="N41" s="11"/>
      <c r="P41" s="11"/>
      <c r="Q41" s="11"/>
    </row>
    <row r="42" spans="1:17" x14ac:dyDescent="0.35">
      <c r="A42" s="217" t="s">
        <v>40</v>
      </c>
      <c r="B42" s="219">
        <v>55</v>
      </c>
      <c r="C42" s="220">
        <v>0.01</v>
      </c>
      <c r="D42" s="219">
        <v>45</v>
      </c>
      <c r="E42" s="219">
        <v>35</v>
      </c>
      <c r="F42" s="221">
        <v>0.78</v>
      </c>
      <c r="J42" s="39"/>
      <c r="N42" s="11"/>
      <c r="P42" s="11"/>
      <c r="Q42" s="11"/>
    </row>
    <row r="43" spans="1:17" x14ac:dyDescent="0.35">
      <c r="A43" s="217" t="s">
        <v>41</v>
      </c>
      <c r="B43" s="219">
        <v>80</v>
      </c>
      <c r="C43" s="220">
        <v>0.01</v>
      </c>
      <c r="D43" s="219">
        <v>80</v>
      </c>
      <c r="E43" s="219">
        <v>60</v>
      </c>
      <c r="F43" s="221">
        <v>0.74</v>
      </c>
      <c r="J43" s="39"/>
      <c r="N43" s="11"/>
      <c r="P43" s="11"/>
      <c r="Q43" s="11"/>
    </row>
    <row r="44" spans="1:17" x14ac:dyDescent="0.35">
      <c r="A44" s="217" t="s">
        <v>42</v>
      </c>
      <c r="B44" s="219">
        <v>55</v>
      </c>
      <c r="C44" s="220">
        <v>0.01</v>
      </c>
      <c r="D44" s="219">
        <v>60</v>
      </c>
      <c r="E44" s="219">
        <v>50</v>
      </c>
      <c r="F44" s="221">
        <v>0.82</v>
      </c>
      <c r="J44" s="39"/>
      <c r="N44" s="11"/>
      <c r="P44" s="11"/>
      <c r="Q44" s="11"/>
    </row>
    <row r="45" spans="1:17" x14ac:dyDescent="0.35">
      <c r="A45" s="217" t="s">
        <v>128</v>
      </c>
      <c r="B45" s="219">
        <v>190</v>
      </c>
      <c r="C45" s="220">
        <v>0.01</v>
      </c>
      <c r="D45" s="219">
        <v>190</v>
      </c>
      <c r="E45" s="219">
        <v>145</v>
      </c>
      <c r="F45" s="221">
        <v>0.78</v>
      </c>
      <c r="J45" s="39"/>
      <c r="N45" s="11"/>
      <c r="P45" s="11"/>
      <c r="Q45" s="11"/>
    </row>
    <row r="46" spans="1:17" x14ac:dyDescent="0.35">
      <c r="A46" s="217" t="s">
        <v>43</v>
      </c>
      <c r="B46" s="219">
        <v>180</v>
      </c>
      <c r="C46" s="220">
        <v>0.05</v>
      </c>
      <c r="D46" s="219">
        <v>155</v>
      </c>
      <c r="E46" s="219">
        <v>115</v>
      </c>
      <c r="F46" s="221">
        <v>0.73</v>
      </c>
      <c r="J46" s="39"/>
      <c r="N46" s="11"/>
      <c r="P46" s="11"/>
      <c r="Q46" s="11"/>
    </row>
    <row r="47" spans="1:17" x14ac:dyDescent="0.35">
      <c r="A47" s="217" t="s">
        <v>44</v>
      </c>
      <c r="B47" s="219">
        <v>450</v>
      </c>
      <c r="C47" s="220">
        <v>0.05</v>
      </c>
      <c r="D47" s="219">
        <v>445</v>
      </c>
      <c r="E47" s="219">
        <v>355</v>
      </c>
      <c r="F47" s="221">
        <v>0.8</v>
      </c>
      <c r="J47" s="39"/>
      <c r="N47" s="11"/>
      <c r="P47" s="11"/>
      <c r="Q47" s="11"/>
    </row>
    <row r="48" spans="1:17" x14ac:dyDescent="0.35">
      <c r="A48" s="217" t="s">
        <v>45</v>
      </c>
      <c r="B48" s="219">
        <v>340</v>
      </c>
      <c r="C48" s="220">
        <v>0.05</v>
      </c>
      <c r="D48" s="219">
        <v>315</v>
      </c>
      <c r="E48" s="219">
        <v>255</v>
      </c>
      <c r="F48" s="221">
        <v>0.8</v>
      </c>
      <c r="J48" s="39"/>
      <c r="N48" s="11"/>
      <c r="P48" s="11"/>
      <c r="Q48" s="11"/>
    </row>
    <row r="49" spans="1:17" x14ac:dyDescent="0.35">
      <c r="A49" s="217" t="s">
        <v>129</v>
      </c>
      <c r="B49" s="219">
        <v>970</v>
      </c>
      <c r="C49" s="220">
        <v>0.05</v>
      </c>
      <c r="D49" s="219">
        <v>920</v>
      </c>
      <c r="E49" s="219">
        <v>725</v>
      </c>
      <c r="F49" s="221">
        <v>0.79</v>
      </c>
      <c r="J49" s="39"/>
      <c r="N49" s="11"/>
      <c r="P49" s="11"/>
      <c r="Q49" s="11"/>
    </row>
    <row r="50" spans="1:17" x14ac:dyDescent="0.35">
      <c r="A50" s="217" t="s">
        <v>46</v>
      </c>
      <c r="B50" s="219">
        <v>95</v>
      </c>
      <c r="C50" s="220">
        <v>0.02</v>
      </c>
      <c r="D50" s="219">
        <v>90</v>
      </c>
      <c r="E50" s="219">
        <v>70</v>
      </c>
      <c r="F50" s="221">
        <v>0.81</v>
      </c>
      <c r="J50" s="39"/>
      <c r="N50" s="11"/>
      <c r="P50" s="11"/>
      <c r="Q50" s="11"/>
    </row>
    <row r="51" spans="1:17" x14ac:dyDescent="0.35">
      <c r="A51" s="217" t="s">
        <v>47</v>
      </c>
      <c r="B51" s="219">
        <v>235</v>
      </c>
      <c r="C51" s="220">
        <v>0.03</v>
      </c>
      <c r="D51" s="219">
        <v>230</v>
      </c>
      <c r="E51" s="219">
        <v>180</v>
      </c>
      <c r="F51" s="221">
        <v>0.78</v>
      </c>
      <c r="J51" s="39"/>
      <c r="N51" s="11"/>
      <c r="P51" s="11"/>
      <c r="Q51" s="11"/>
    </row>
    <row r="52" spans="1:17" x14ac:dyDescent="0.35">
      <c r="A52" s="217" t="s">
        <v>48</v>
      </c>
      <c r="B52" s="219">
        <v>175</v>
      </c>
      <c r="C52" s="220">
        <v>0.03</v>
      </c>
      <c r="D52" s="219">
        <v>165</v>
      </c>
      <c r="E52" s="219">
        <v>125</v>
      </c>
      <c r="F52" s="221">
        <v>0.74</v>
      </c>
      <c r="J52" s="39"/>
      <c r="N52" s="11"/>
      <c r="P52" s="11"/>
      <c r="Q52" s="11"/>
    </row>
    <row r="53" spans="1:17" x14ac:dyDescent="0.35">
      <c r="A53" s="217" t="s">
        <v>130</v>
      </c>
      <c r="B53" s="219">
        <v>505</v>
      </c>
      <c r="C53" s="220">
        <v>0.03</v>
      </c>
      <c r="D53" s="219">
        <v>485</v>
      </c>
      <c r="E53" s="219">
        <v>375</v>
      </c>
      <c r="F53" s="221">
        <v>0.77</v>
      </c>
      <c r="J53" s="39"/>
      <c r="N53" s="11"/>
      <c r="P53" s="11"/>
      <c r="Q53" s="11"/>
    </row>
    <row r="54" spans="1:17" x14ac:dyDescent="0.35">
      <c r="A54" s="217" t="s">
        <v>49</v>
      </c>
      <c r="B54" s="219">
        <v>195</v>
      </c>
      <c r="C54" s="220">
        <v>0.05</v>
      </c>
      <c r="D54" s="219">
        <v>170</v>
      </c>
      <c r="E54" s="219">
        <v>125</v>
      </c>
      <c r="F54" s="221">
        <v>0.73</v>
      </c>
      <c r="J54" s="39"/>
      <c r="N54" s="11"/>
      <c r="P54" s="11"/>
      <c r="Q54" s="11"/>
    </row>
    <row r="55" spans="1:17" x14ac:dyDescent="0.35">
      <c r="A55" s="217" t="s">
        <v>50</v>
      </c>
      <c r="B55" s="219">
        <v>430</v>
      </c>
      <c r="C55" s="220">
        <v>0.05</v>
      </c>
      <c r="D55" s="219">
        <v>435</v>
      </c>
      <c r="E55" s="219">
        <v>340</v>
      </c>
      <c r="F55" s="221">
        <v>0.78</v>
      </c>
      <c r="J55" s="39"/>
      <c r="N55" s="11"/>
      <c r="P55" s="11"/>
      <c r="Q55" s="11"/>
    </row>
    <row r="56" spans="1:17" x14ac:dyDescent="0.35">
      <c r="A56" s="217" t="s">
        <v>51</v>
      </c>
      <c r="B56" s="219">
        <v>350</v>
      </c>
      <c r="C56" s="220">
        <v>0.05</v>
      </c>
      <c r="D56" s="219">
        <v>330</v>
      </c>
      <c r="E56" s="219">
        <v>245</v>
      </c>
      <c r="F56" s="221">
        <v>0.75</v>
      </c>
      <c r="J56" s="39"/>
      <c r="N56" s="11"/>
      <c r="P56" s="11"/>
      <c r="Q56" s="11"/>
    </row>
    <row r="57" spans="1:17" x14ac:dyDescent="0.35">
      <c r="A57" s="217" t="s">
        <v>131</v>
      </c>
      <c r="B57" s="219">
        <v>980</v>
      </c>
      <c r="C57" s="220">
        <v>0.05</v>
      </c>
      <c r="D57" s="219">
        <v>935</v>
      </c>
      <c r="E57" s="219">
        <v>710</v>
      </c>
      <c r="F57" s="221">
        <v>0.76</v>
      </c>
      <c r="J57" s="39"/>
      <c r="N57" s="11"/>
      <c r="P57" s="11"/>
      <c r="Q57" s="11"/>
    </row>
    <row r="58" spans="1:17" x14ac:dyDescent="0.35">
      <c r="A58" s="217" t="s">
        <v>52</v>
      </c>
      <c r="B58" s="219">
        <v>850</v>
      </c>
      <c r="C58" s="220">
        <v>0.21</v>
      </c>
      <c r="D58" s="219">
        <v>730</v>
      </c>
      <c r="E58" s="219">
        <v>615</v>
      </c>
      <c r="F58" s="221">
        <v>0.84</v>
      </c>
      <c r="J58" s="39"/>
      <c r="N58" s="11"/>
      <c r="P58" s="11"/>
      <c r="Q58" s="11"/>
    </row>
    <row r="59" spans="1:17" x14ac:dyDescent="0.35">
      <c r="A59" s="217" t="s">
        <v>53</v>
      </c>
      <c r="B59" s="219">
        <v>1800</v>
      </c>
      <c r="C59" s="220">
        <v>0.21</v>
      </c>
      <c r="D59" s="219">
        <v>1815</v>
      </c>
      <c r="E59" s="219">
        <v>1510</v>
      </c>
      <c r="F59" s="221">
        <v>0.83</v>
      </c>
      <c r="J59" s="39"/>
      <c r="N59" s="11"/>
      <c r="P59" s="11"/>
      <c r="Q59" s="11"/>
    </row>
    <row r="60" spans="1:17" x14ac:dyDescent="0.35">
      <c r="A60" s="217" t="s">
        <v>54</v>
      </c>
      <c r="B60" s="219">
        <v>1335</v>
      </c>
      <c r="C60" s="220">
        <v>0.21</v>
      </c>
      <c r="D60" s="219">
        <v>1255</v>
      </c>
      <c r="E60" s="219">
        <v>1025</v>
      </c>
      <c r="F60" s="221">
        <v>0.82</v>
      </c>
      <c r="J60" s="39"/>
      <c r="N60" s="11"/>
      <c r="P60" s="11"/>
      <c r="Q60" s="11"/>
    </row>
    <row r="61" spans="1:17" x14ac:dyDescent="0.35">
      <c r="A61" s="217" t="s">
        <v>132</v>
      </c>
      <c r="B61" s="219">
        <v>3985</v>
      </c>
      <c r="C61" s="220">
        <v>0.21</v>
      </c>
      <c r="D61" s="219">
        <v>3800</v>
      </c>
      <c r="E61" s="219">
        <v>3150</v>
      </c>
      <c r="F61" s="221">
        <v>0.83</v>
      </c>
      <c r="J61" s="39"/>
      <c r="N61" s="11"/>
      <c r="P61" s="11"/>
      <c r="Q61" s="11"/>
    </row>
    <row r="62" spans="1:17" x14ac:dyDescent="0.35">
      <c r="A62" s="217" t="s">
        <v>55</v>
      </c>
      <c r="B62" s="219">
        <v>120</v>
      </c>
      <c r="C62" s="220">
        <v>0.03</v>
      </c>
      <c r="D62" s="219">
        <v>100</v>
      </c>
      <c r="E62" s="219">
        <v>75</v>
      </c>
      <c r="F62" s="221">
        <v>0.75</v>
      </c>
      <c r="J62" s="39"/>
      <c r="N62" s="11"/>
      <c r="P62" s="11"/>
      <c r="Q62" s="11"/>
    </row>
    <row r="63" spans="1:17" x14ac:dyDescent="0.35">
      <c r="A63" s="217" t="s">
        <v>56</v>
      </c>
      <c r="B63" s="219">
        <v>250</v>
      </c>
      <c r="C63" s="220">
        <v>0.03</v>
      </c>
      <c r="D63" s="219">
        <v>250</v>
      </c>
      <c r="E63" s="219">
        <v>185</v>
      </c>
      <c r="F63" s="221">
        <v>0.75</v>
      </c>
      <c r="J63" s="39"/>
      <c r="N63" s="11"/>
      <c r="P63" s="11"/>
      <c r="Q63" s="11"/>
    </row>
    <row r="64" spans="1:17" x14ac:dyDescent="0.35">
      <c r="A64" s="217" t="s">
        <v>57</v>
      </c>
      <c r="B64" s="219">
        <v>195</v>
      </c>
      <c r="C64" s="220">
        <v>0.03</v>
      </c>
      <c r="D64" s="219">
        <v>185</v>
      </c>
      <c r="E64" s="219">
        <v>140</v>
      </c>
      <c r="F64" s="221">
        <v>0.76</v>
      </c>
      <c r="J64" s="39"/>
      <c r="N64" s="11"/>
      <c r="P64" s="11"/>
      <c r="Q64" s="11"/>
    </row>
    <row r="65" spans="1:17" x14ac:dyDescent="0.35">
      <c r="A65" s="217" t="s">
        <v>133</v>
      </c>
      <c r="B65" s="219">
        <v>565</v>
      </c>
      <c r="C65" s="220">
        <v>0.03</v>
      </c>
      <c r="D65" s="219">
        <v>535</v>
      </c>
      <c r="E65" s="219">
        <v>405</v>
      </c>
      <c r="F65" s="221">
        <v>0.75</v>
      </c>
      <c r="J65" s="39"/>
      <c r="N65" s="11"/>
      <c r="P65" s="11"/>
      <c r="Q65" s="11"/>
    </row>
    <row r="66" spans="1:17" x14ac:dyDescent="0.35">
      <c r="A66" s="217" t="s">
        <v>58</v>
      </c>
      <c r="B66" s="219">
        <v>90</v>
      </c>
      <c r="C66" s="220">
        <v>0.02</v>
      </c>
      <c r="D66" s="219">
        <v>80</v>
      </c>
      <c r="E66" s="219">
        <v>65</v>
      </c>
      <c r="F66" s="221">
        <v>0.8</v>
      </c>
      <c r="J66" s="39"/>
      <c r="N66" s="11"/>
      <c r="P66" s="11"/>
      <c r="Q66" s="11"/>
    </row>
    <row r="67" spans="1:17" x14ac:dyDescent="0.35">
      <c r="A67" s="217" t="s">
        <v>59</v>
      </c>
      <c r="B67" s="219">
        <v>205</v>
      </c>
      <c r="C67" s="220">
        <v>0.02</v>
      </c>
      <c r="D67" s="219">
        <v>205</v>
      </c>
      <c r="E67" s="219">
        <v>155</v>
      </c>
      <c r="F67" s="221">
        <v>0.75</v>
      </c>
      <c r="J67" s="39"/>
      <c r="N67" s="11"/>
      <c r="P67" s="11"/>
      <c r="Q67" s="11"/>
    </row>
    <row r="68" spans="1:17" x14ac:dyDescent="0.35">
      <c r="A68" s="217" t="s">
        <v>60</v>
      </c>
      <c r="B68" s="219">
        <v>140</v>
      </c>
      <c r="C68" s="220">
        <v>0.02</v>
      </c>
      <c r="D68" s="219">
        <v>135</v>
      </c>
      <c r="E68" s="219">
        <v>105</v>
      </c>
      <c r="F68" s="221">
        <v>0.8</v>
      </c>
      <c r="J68" s="39"/>
      <c r="N68" s="11"/>
      <c r="P68" s="11"/>
      <c r="Q68" s="11"/>
    </row>
    <row r="69" spans="1:17" x14ac:dyDescent="0.35">
      <c r="A69" s="217" t="s">
        <v>134</v>
      </c>
      <c r="B69" s="219">
        <v>435</v>
      </c>
      <c r="C69" s="220">
        <v>0.02</v>
      </c>
      <c r="D69" s="219">
        <v>420</v>
      </c>
      <c r="E69" s="219">
        <v>325</v>
      </c>
      <c r="F69" s="221">
        <v>0.78</v>
      </c>
      <c r="J69" s="39"/>
      <c r="N69" s="11"/>
      <c r="P69" s="11"/>
      <c r="Q69" s="11"/>
    </row>
    <row r="70" spans="1:17" x14ac:dyDescent="0.35">
      <c r="A70" s="217" t="s">
        <v>61</v>
      </c>
      <c r="B70" s="219">
        <v>40</v>
      </c>
      <c r="C70" s="220">
        <v>0.01</v>
      </c>
      <c r="D70" s="219">
        <v>35</v>
      </c>
      <c r="E70" s="219">
        <v>30</v>
      </c>
      <c r="F70" s="221">
        <v>0.76</v>
      </c>
      <c r="J70" s="39"/>
      <c r="N70" s="11"/>
      <c r="P70" s="11"/>
      <c r="Q70" s="11"/>
    </row>
    <row r="71" spans="1:17" x14ac:dyDescent="0.35">
      <c r="A71" s="217" t="s">
        <v>62</v>
      </c>
      <c r="B71" s="219">
        <v>120</v>
      </c>
      <c r="C71" s="220">
        <v>0.01</v>
      </c>
      <c r="D71" s="219">
        <v>115</v>
      </c>
      <c r="E71" s="219">
        <v>80</v>
      </c>
      <c r="F71" s="221">
        <v>0.7</v>
      </c>
      <c r="J71" s="39"/>
      <c r="N71" s="11"/>
      <c r="P71" s="11"/>
      <c r="Q71" s="11"/>
    </row>
    <row r="72" spans="1:17" x14ac:dyDescent="0.35">
      <c r="A72" s="217" t="s">
        <v>63</v>
      </c>
      <c r="B72" s="219">
        <v>85</v>
      </c>
      <c r="C72" s="220">
        <v>0.01</v>
      </c>
      <c r="D72" s="219">
        <v>75</v>
      </c>
      <c r="E72" s="219">
        <v>55</v>
      </c>
      <c r="F72" s="221">
        <v>0.74</v>
      </c>
      <c r="J72" s="39"/>
      <c r="N72" s="11"/>
      <c r="P72" s="11"/>
      <c r="Q72" s="11"/>
    </row>
    <row r="73" spans="1:17" x14ac:dyDescent="0.35">
      <c r="A73" s="217" t="s">
        <v>135</v>
      </c>
      <c r="B73" s="219">
        <v>245</v>
      </c>
      <c r="C73" s="220">
        <v>0.01</v>
      </c>
      <c r="D73" s="219">
        <v>230</v>
      </c>
      <c r="E73" s="219">
        <v>165</v>
      </c>
      <c r="F73" s="221">
        <v>0.72</v>
      </c>
      <c r="J73" s="39"/>
      <c r="N73" s="11"/>
      <c r="P73" s="11"/>
      <c r="Q73" s="11"/>
    </row>
    <row r="74" spans="1:17" x14ac:dyDescent="0.35">
      <c r="A74" s="217" t="s">
        <v>64</v>
      </c>
      <c r="B74" s="219">
        <v>30</v>
      </c>
      <c r="C74" s="220">
        <v>0.01</v>
      </c>
      <c r="D74" s="219">
        <v>25</v>
      </c>
      <c r="E74" s="219">
        <v>20</v>
      </c>
      <c r="F74" s="221">
        <v>0.74</v>
      </c>
      <c r="J74" s="39"/>
      <c r="N74" s="11"/>
      <c r="P74" s="11"/>
      <c r="Q74" s="11"/>
    </row>
    <row r="75" spans="1:17" x14ac:dyDescent="0.35">
      <c r="A75" s="217" t="s">
        <v>65</v>
      </c>
      <c r="B75" s="219">
        <v>90</v>
      </c>
      <c r="C75" s="220">
        <v>0.01</v>
      </c>
      <c r="D75" s="219">
        <v>90</v>
      </c>
      <c r="E75" s="219">
        <v>65</v>
      </c>
      <c r="F75" s="221">
        <v>0.74</v>
      </c>
      <c r="J75" s="39"/>
      <c r="N75" s="11"/>
      <c r="P75" s="11"/>
      <c r="Q75" s="11"/>
    </row>
    <row r="76" spans="1:17" x14ac:dyDescent="0.35">
      <c r="A76" s="217" t="s">
        <v>66</v>
      </c>
      <c r="B76" s="219">
        <v>75</v>
      </c>
      <c r="C76" s="220">
        <v>0.01</v>
      </c>
      <c r="D76" s="219">
        <v>70</v>
      </c>
      <c r="E76" s="219">
        <v>45</v>
      </c>
      <c r="F76" s="221">
        <v>0.67</v>
      </c>
      <c r="J76" s="39"/>
      <c r="N76" s="11"/>
      <c r="P76" s="11"/>
      <c r="Q76" s="11"/>
    </row>
    <row r="77" spans="1:17" x14ac:dyDescent="0.35">
      <c r="A77" s="217" t="s">
        <v>136</v>
      </c>
      <c r="B77" s="219">
        <v>200</v>
      </c>
      <c r="C77" s="220">
        <v>0.01</v>
      </c>
      <c r="D77" s="219">
        <v>185</v>
      </c>
      <c r="E77" s="219">
        <v>135</v>
      </c>
      <c r="F77" s="221">
        <v>0.72</v>
      </c>
      <c r="J77" s="39"/>
      <c r="N77" s="11"/>
      <c r="P77" s="11"/>
      <c r="Q77" s="11"/>
    </row>
    <row r="78" spans="1:17" x14ac:dyDescent="0.35">
      <c r="A78" s="217" t="s">
        <v>67</v>
      </c>
      <c r="B78" s="219">
        <v>10</v>
      </c>
      <c r="C78" s="220">
        <v>0</v>
      </c>
      <c r="D78" s="219">
        <v>5</v>
      </c>
      <c r="E78" s="219">
        <v>5</v>
      </c>
      <c r="F78" s="221">
        <v>0.71</v>
      </c>
      <c r="J78" s="39"/>
      <c r="N78" s="11"/>
      <c r="P78" s="11"/>
      <c r="Q78" s="11"/>
    </row>
    <row r="79" spans="1:17" x14ac:dyDescent="0.35">
      <c r="A79" s="217" t="s">
        <v>68</v>
      </c>
      <c r="B79" s="219">
        <v>20</v>
      </c>
      <c r="C79" s="220">
        <v>0</v>
      </c>
      <c r="D79" s="219">
        <v>20</v>
      </c>
      <c r="E79" s="219">
        <v>15</v>
      </c>
      <c r="F79" s="221">
        <v>0.77</v>
      </c>
      <c r="J79" s="39"/>
      <c r="N79" s="11"/>
      <c r="P79" s="11"/>
      <c r="Q79" s="11"/>
    </row>
    <row r="80" spans="1:17" x14ac:dyDescent="0.35">
      <c r="A80" s="217" t="s">
        <v>69</v>
      </c>
      <c r="B80" s="219">
        <v>15</v>
      </c>
      <c r="C80" s="220">
        <v>0</v>
      </c>
      <c r="D80" s="219">
        <v>15</v>
      </c>
      <c r="E80" s="219">
        <v>10</v>
      </c>
      <c r="F80" s="221">
        <v>0.56999999999999995</v>
      </c>
      <c r="J80" s="39"/>
      <c r="N80" s="11"/>
      <c r="P80" s="11"/>
      <c r="Q80" s="11"/>
    </row>
    <row r="81" spans="1:17" x14ac:dyDescent="0.35">
      <c r="A81" s="217" t="s">
        <v>137</v>
      </c>
      <c r="B81" s="219">
        <v>45</v>
      </c>
      <c r="C81" s="220">
        <v>0</v>
      </c>
      <c r="D81" s="219">
        <v>45</v>
      </c>
      <c r="E81" s="219">
        <v>30</v>
      </c>
      <c r="F81" s="221">
        <v>0.7</v>
      </c>
      <c r="J81" s="39"/>
      <c r="N81" s="11"/>
      <c r="P81" s="11"/>
      <c r="Q81" s="11"/>
    </row>
    <row r="82" spans="1:17" x14ac:dyDescent="0.35">
      <c r="A82" s="217" t="s">
        <v>70</v>
      </c>
      <c r="B82" s="219">
        <v>15</v>
      </c>
      <c r="C82" s="220">
        <v>0</v>
      </c>
      <c r="D82" s="219">
        <v>10</v>
      </c>
      <c r="E82" s="219" t="s">
        <v>194</v>
      </c>
      <c r="F82" s="221" t="s">
        <v>194</v>
      </c>
      <c r="J82" s="39"/>
      <c r="N82" s="11"/>
      <c r="P82" s="11"/>
      <c r="Q82" s="11"/>
    </row>
    <row r="83" spans="1:17" x14ac:dyDescent="0.35">
      <c r="A83" s="217" t="s">
        <v>71</v>
      </c>
      <c r="B83" s="219">
        <v>10</v>
      </c>
      <c r="C83" s="220">
        <v>0</v>
      </c>
      <c r="D83" s="219">
        <v>10</v>
      </c>
      <c r="E83" s="219">
        <v>0</v>
      </c>
      <c r="F83" s="221">
        <v>0</v>
      </c>
      <c r="J83" s="39"/>
      <c r="N83" s="11"/>
      <c r="P83" s="11"/>
      <c r="Q83" s="11"/>
    </row>
    <row r="84" spans="1:17" x14ac:dyDescent="0.35">
      <c r="A84" s="217" t="s">
        <v>72</v>
      </c>
      <c r="B84" s="219">
        <v>5</v>
      </c>
      <c r="C84" s="220">
        <v>0</v>
      </c>
      <c r="D84" s="219">
        <v>5</v>
      </c>
      <c r="E84" s="219">
        <v>0</v>
      </c>
      <c r="F84" s="221">
        <v>0</v>
      </c>
      <c r="J84" s="39"/>
      <c r="N84" s="11"/>
      <c r="P84" s="11"/>
      <c r="Q84" s="11"/>
    </row>
    <row r="85" spans="1:17" x14ac:dyDescent="0.35">
      <c r="A85" s="217" t="s">
        <v>138</v>
      </c>
      <c r="B85" s="219">
        <v>30</v>
      </c>
      <c r="C85" s="220">
        <v>0</v>
      </c>
      <c r="D85" s="219">
        <v>30</v>
      </c>
      <c r="E85" s="219" t="s">
        <v>194</v>
      </c>
      <c r="F85" s="221" t="s">
        <v>194</v>
      </c>
      <c r="J85" s="39"/>
      <c r="N85" s="11"/>
      <c r="P85" s="11"/>
      <c r="Q85" s="11"/>
    </row>
    <row r="86" spans="1:17" x14ac:dyDescent="0.35">
      <c r="A86" s="217" t="s">
        <v>116</v>
      </c>
      <c r="B86" s="219">
        <v>55</v>
      </c>
      <c r="C86" s="220">
        <v>0.01</v>
      </c>
      <c r="D86" s="219">
        <v>50</v>
      </c>
      <c r="E86" s="219" t="s">
        <v>194</v>
      </c>
      <c r="F86" s="221" t="s">
        <v>194</v>
      </c>
      <c r="J86" s="39"/>
      <c r="N86" s="11"/>
      <c r="P86" s="11"/>
      <c r="Q86" s="11"/>
    </row>
    <row r="87" spans="1:17" x14ac:dyDescent="0.35">
      <c r="A87" s="217" t="s">
        <v>117</v>
      </c>
      <c r="B87" s="219">
        <v>155</v>
      </c>
      <c r="C87" s="220">
        <v>0.02</v>
      </c>
      <c r="D87" s="219">
        <v>155</v>
      </c>
      <c r="E87" s="219">
        <v>5</v>
      </c>
      <c r="F87" s="221">
        <v>0.05</v>
      </c>
      <c r="J87" s="39"/>
      <c r="N87" s="11"/>
      <c r="P87" s="11"/>
      <c r="Q87" s="11"/>
    </row>
    <row r="88" spans="1:17" x14ac:dyDescent="0.35">
      <c r="A88" s="217" t="s">
        <v>118</v>
      </c>
      <c r="B88" s="219">
        <v>105</v>
      </c>
      <c r="C88" s="220">
        <v>0.02</v>
      </c>
      <c r="D88" s="219">
        <v>90</v>
      </c>
      <c r="E88" s="219" t="s">
        <v>194</v>
      </c>
      <c r="F88" s="221" t="s">
        <v>194</v>
      </c>
      <c r="J88" s="39"/>
      <c r="N88" s="11"/>
      <c r="P88" s="11"/>
      <c r="Q88" s="11"/>
    </row>
    <row r="89" spans="1:17" x14ac:dyDescent="0.35">
      <c r="A89" s="217" t="s">
        <v>151</v>
      </c>
      <c r="B89" s="219">
        <v>315</v>
      </c>
      <c r="C89" s="220">
        <v>0.02</v>
      </c>
      <c r="D89" s="219">
        <v>295</v>
      </c>
      <c r="E89" s="219">
        <v>10</v>
      </c>
      <c r="F89" s="221">
        <v>0.03</v>
      </c>
      <c r="J89" s="39"/>
      <c r="N89" s="11"/>
      <c r="P89" s="11"/>
      <c r="Q89" s="11"/>
    </row>
    <row r="90" spans="1:17" x14ac:dyDescent="0.35">
      <c r="A90" s="217" t="s">
        <v>73</v>
      </c>
      <c r="B90" s="219">
        <v>160</v>
      </c>
      <c r="C90" s="220">
        <v>0.04</v>
      </c>
      <c r="D90" s="219">
        <v>145</v>
      </c>
      <c r="E90" s="219">
        <v>115</v>
      </c>
      <c r="F90" s="221">
        <v>0.8</v>
      </c>
      <c r="J90" s="39"/>
      <c r="N90" s="11"/>
      <c r="P90" s="11"/>
      <c r="Q90" s="11"/>
    </row>
    <row r="91" spans="1:17" x14ac:dyDescent="0.35">
      <c r="A91" s="217" t="s">
        <v>74</v>
      </c>
      <c r="B91" s="219">
        <v>310</v>
      </c>
      <c r="C91" s="220">
        <v>0.04</v>
      </c>
      <c r="D91" s="219">
        <v>310</v>
      </c>
      <c r="E91" s="219">
        <v>245</v>
      </c>
      <c r="F91" s="221">
        <v>0.79</v>
      </c>
      <c r="J91" s="39"/>
      <c r="N91" s="11"/>
      <c r="P91" s="11"/>
      <c r="Q91" s="11"/>
    </row>
    <row r="92" spans="1:17" x14ac:dyDescent="0.35">
      <c r="A92" s="217" t="s">
        <v>75</v>
      </c>
      <c r="B92" s="219">
        <v>245</v>
      </c>
      <c r="C92" s="220">
        <v>0.04</v>
      </c>
      <c r="D92" s="219">
        <v>235</v>
      </c>
      <c r="E92" s="219">
        <v>185</v>
      </c>
      <c r="F92" s="221">
        <v>0.79</v>
      </c>
      <c r="J92" s="39"/>
      <c r="N92" s="11"/>
      <c r="P92" s="11"/>
      <c r="Q92" s="11"/>
    </row>
    <row r="93" spans="1:17" x14ac:dyDescent="0.35">
      <c r="A93" s="217" t="s">
        <v>139</v>
      </c>
      <c r="B93" s="219">
        <v>720</v>
      </c>
      <c r="C93" s="220">
        <v>0.04</v>
      </c>
      <c r="D93" s="219">
        <v>690</v>
      </c>
      <c r="E93" s="219">
        <v>545</v>
      </c>
      <c r="F93" s="221">
        <v>0.79</v>
      </c>
      <c r="J93" s="39"/>
      <c r="N93" s="11"/>
      <c r="P93" s="11"/>
      <c r="Q93" s="11"/>
    </row>
    <row r="94" spans="1:17" x14ac:dyDescent="0.35">
      <c r="A94" s="217" t="s">
        <v>76</v>
      </c>
      <c r="B94" s="219">
        <v>380</v>
      </c>
      <c r="C94" s="220">
        <v>0.1</v>
      </c>
      <c r="D94" s="219">
        <v>320</v>
      </c>
      <c r="E94" s="219">
        <v>250</v>
      </c>
      <c r="F94" s="221">
        <v>0.77</v>
      </c>
      <c r="J94" s="39"/>
      <c r="N94" s="11"/>
      <c r="P94" s="11"/>
      <c r="Q94" s="11"/>
    </row>
    <row r="95" spans="1:17" x14ac:dyDescent="0.35">
      <c r="A95" s="217" t="s">
        <v>77</v>
      </c>
      <c r="B95" s="219">
        <v>835</v>
      </c>
      <c r="C95" s="220">
        <v>0.1</v>
      </c>
      <c r="D95" s="219">
        <v>825</v>
      </c>
      <c r="E95" s="219">
        <v>670</v>
      </c>
      <c r="F95" s="221">
        <v>0.82</v>
      </c>
      <c r="J95" s="39"/>
      <c r="N95" s="11"/>
      <c r="P95" s="11"/>
      <c r="Q95" s="11"/>
    </row>
    <row r="96" spans="1:17" x14ac:dyDescent="0.35">
      <c r="A96" s="217" t="s">
        <v>78</v>
      </c>
      <c r="B96" s="219">
        <v>610</v>
      </c>
      <c r="C96" s="220">
        <v>0.09</v>
      </c>
      <c r="D96" s="219">
        <v>605</v>
      </c>
      <c r="E96" s="219">
        <v>465</v>
      </c>
      <c r="F96" s="221">
        <v>0.76</v>
      </c>
      <c r="J96" s="39"/>
      <c r="N96" s="11"/>
      <c r="P96" s="11"/>
      <c r="Q96" s="11"/>
    </row>
    <row r="97" spans="1:17" x14ac:dyDescent="0.35">
      <c r="A97" s="217" t="s">
        <v>140</v>
      </c>
      <c r="B97" s="219">
        <v>1820</v>
      </c>
      <c r="C97" s="220">
        <v>0.1</v>
      </c>
      <c r="D97" s="219">
        <v>1750</v>
      </c>
      <c r="E97" s="219">
        <v>1385</v>
      </c>
      <c r="F97" s="221">
        <v>0.79</v>
      </c>
      <c r="J97" s="39"/>
      <c r="N97" s="11"/>
      <c r="P97" s="11"/>
      <c r="Q97" s="11"/>
    </row>
    <row r="98" spans="1:17" x14ac:dyDescent="0.35">
      <c r="A98" s="217" t="s">
        <v>79</v>
      </c>
      <c r="B98" s="219">
        <v>5</v>
      </c>
      <c r="C98" s="220">
        <v>0</v>
      </c>
      <c r="D98" s="219">
        <v>5</v>
      </c>
      <c r="E98" s="219">
        <v>5</v>
      </c>
      <c r="F98" s="221">
        <v>0.56999999999999995</v>
      </c>
      <c r="J98" s="39"/>
      <c r="N98" s="11"/>
      <c r="P98" s="11"/>
      <c r="Q98" s="11"/>
    </row>
    <row r="99" spans="1:17" x14ac:dyDescent="0.35">
      <c r="A99" s="217" t="s">
        <v>80</v>
      </c>
      <c r="B99" s="219">
        <v>5</v>
      </c>
      <c r="C99" s="220">
        <v>0</v>
      </c>
      <c r="D99" s="219">
        <v>5</v>
      </c>
      <c r="E99" s="219">
        <v>5</v>
      </c>
      <c r="F99" s="221">
        <v>0.75</v>
      </c>
      <c r="J99" s="39"/>
      <c r="N99" s="11"/>
      <c r="P99" s="11"/>
      <c r="Q99" s="11"/>
    </row>
    <row r="100" spans="1:17" x14ac:dyDescent="0.35">
      <c r="A100" s="217" t="s">
        <v>81</v>
      </c>
      <c r="B100" s="219">
        <v>15</v>
      </c>
      <c r="C100" s="220">
        <v>0</v>
      </c>
      <c r="D100" s="219">
        <v>10</v>
      </c>
      <c r="E100" s="219">
        <v>10</v>
      </c>
      <c r="F100" s="221">
        <v>0.91</v>
      </c>
      <c r="J100" s="39"/>
      <c r="N100" s="11"/>
      <c r="P100" s="11"/>
      <c r="Q100" s="11"/>
    </row>
    <row r="101" spans="1:17" x14ac:dyDescent="0.35">
      <c r="A101" s="217" t="s">
        <v>141</v>
      </c>
      <c r="B101" s="219">
        <v>25</v>
      </c>
      <c r="C101" s="220">
        <v>0</v>
      </c>
      <c r="D101" s="219">
        <v>20</v>
      </c>
      <c r="E101" s="219">
        <v>15</v>
      </c>
      <c r="F101" s="221">
        <v>0.77</v>
      </c>
      <c r="J101" s="39"/>
      <c r="N101" s="11"/>
      <c r="P101" s="11"/>
      <c r="Q101" s="11"/>
    </row>
    <row r="102" spans="1:17" x14ac:dyDescent="0.35">
      <c r="A102" s="217" t="s">
        <v>278</v>
      </c>
      <c r="B102" s="219">
        <v>60</v>
      </c>
      <c r="C102" s="220">
        <v>0.01</v>
      </c>
      <c r="D102" s="219">
        <v>50</v>
      </c>
      <c r="E102" s="219">
        <v>40</v>
      </c>
      <c r="F102" s="221">
        <v>0.73</v>
      </c>
      <c r="J102" s="39"/>
      <c r="N102" s="11"/>
      <c r="P102" s="11"/>
      <c r="Q102" s="11"/>
    </row>
    <row r="103" spans="1:17" x14ac:dyDescent="0.35">
      <c r="A103" s="217" t="s">
        <v>279</v>
      </c>
      <c r="B103" s="219">
        <v>145</v>
      </c>
      <c r="C103" s="220">
        <v>0.02</v>
      </c>
      <c r="D103" s="219">
        <v>140</v>
      </c>
      <c r="E103" s="219">
        <v>110</v>
      </c>
      <c r="F103" s="221">
        <v>0.78</v>
      </c>
      <c r="J103" s="39"/>
      <c r="N103" s="11"/>
      <c r="P103" s="11"/>
      <c r="Q103" s="11"/>
    </row>
    <row r="104" spans="1:17" x14ac:dyDescent="0.35">
      <c r="A104" s="217" t="s">
        <v>280</v>
      </c>
      <c r="B104" s="219">
        <v>85</v>
      </c>
      <c r="C104" s="220">
        <v>0.01</v>
      </c>
      <c r="D104" s="219">
        <v>85</v>
      </c>
      <c r="E104" s="219">
        <v>60</v>
      </c>
      <c r="F104" s="221">
        <v>0.75</v>
      </c>
      <c r="J104" s="39"/>
      <c r="N104" s="11"/>
      <c r="P104" s="11"/>
      <c r="Q104" s="11"/>
    </row>
    <row r="105" spans="1:17" x14ac:dyDescent="0.35">
      <c r="A105" s="217" t="s">
        <v>281</v>
      </c>
      <c r="B105" s="219">
        <v>285</v>
      </c>
      <c r="C105" s="220">
        <v>0.01</v>
      </c>
      <c r="D105" s="219">
        <v>275</v>
      </c>
      <c r="E105" s="219">
        <v>210</v>
      </c>
      <c r="F105" s="221">
        <v>0.76</v>
      </c>
      <c r="J105" s="39"/>
      <c r="N105" s="11"/>
      <c r="P105" s="11"/>
      <c r="Q105" s="11"/>
    </row>
    <row r="106" spans="1:17" x14ac:dyDescent="0.35">
      <c r="A106" s="217" t="s">
        <v>82</v>
      </c>
      <c r="B106" s="219">
        <v>120</v>
      </c>
      <c r="C106" s="220">
        <v>0.03</v>
      </c>
      <c r="D106" s="219">
        <v>100</v>
      </c>
      <c r="E106" s="219">
        <v>75</v>
      </c>
      <c r="F106" s="221">
        <v>0.74</v>
      </c>
      <c r="J106" s="39"/>
      <c r="N106" s="11"/>
      <c r="P106" s="11"/>
      <c r="Q106" s="11"/>
    </row>
    <row r="107" spans="1:17" x14ac:dyDescent="0.35">
      <c r="A107" s="217" t="s">
        <v>83</v>
      </c>
      <c r="B107" s="219">
        <v>295</v>
      </c>
      <c r="C107" s="220">
        <v>0.03</v>
      </c>
      <c r="D107" s="219">
        <v>300</v>
      </c>
      <c r="E107" s="219">
        <v>235</v>
      </c>
      <c r="F107" s="221">
        <v>0.79</v>
      </c>
      <c r="J107" s="39"/>
      <c r="N107" s="11"/>
      <c r="P107" s="11"/>
      <c r="Q107" s="11"/>
    </row>
    <row r="108" spans="1:17" x14ac:dyDescent="0.35">
      <c r="A108" s="217" t="s">
        <v>84</v>
      </c>
      <c r="B108" s="219">
        <v>225</v>
      </c>
      <c r="C108" s="220">
        <v>0.03</v>
      </c>
      <c r="D108" s="219">
        <v>205</v>
      </c>
      <c r="E108" s="219">
        <v>160</v>
      </c>
      <c r="F108" s="221">
        <v>0.79</v>
      </c>
      <c r="J108" s="39"/>
      <c r="N108" s="11"/>
      <c r="P108" s="11"/>
      <c r="Q108" s="11"/>
    </row>
    <row r="109" spans="1:17" x14ac:dyDescent="0.35">
      <c r="A109" s="217" t="s">
        <v>142</v>
      </c>
      <c r="B109" s="219">
        <v>640</v>
      </c>
      <c r="C109" s="220">
        <v>0.03</v>
      </c>
      <c r="D109" s="219">
        <v>605</v>
      </c>
      <c r="E109" s="219">
        <v>470</v>
      </c>
      <c r="F109" s="221">
        <v>0.78</v>
      </c>
      <c r="J109" s="39"/>
      <c r="N109" s="11"/>
      <c r="P109" s="11"/>
      <c r="Q109" s="11"/>
    </row>
    <row r="110" spans="1:17" x14ac:dyDescent="0.35">
      <c r="A110" s="217" t="s">
        <v>85</v>
      </c>
      <c r="B110" s="219">
        <v>60</v>
      </c>
      <c r="C110" s="220">
        <v>0.01</v>
      </c>
      <c r="D110" s="219">
        <v>45</v>
      </c>
      <c r="E110" s="219">
        <v>30</v>
      </c>
      <c r="F110" s="221">
        <v>0.68</v>
      </c>
      <c r="J110" s="39"/>
      <c r="N110" s="11"/>
      <c r="P110" s="11"/>
      <c r="Q110" s="11"/>
    </row>
    <row r="111" spans="1:17" x14ac:dyDescent="0.35">
      <c r="A111" s="217" t="s">
        <v>86</v>
      </c>
      <c r="B111" s="219">
        <v>105</v>
      </c>
      <c r="C111" s="220">
        <v>0.01</v>
      </c>
      <c r="D111" s="219">
        <v>110</v>
      </c>
      <c r="E111" s="219">
        <v>80</v>
      </c>
      <c r="F111" s="221">
        <v>0.72</v>
      </c>
      <c r="J111" s="39"/>
      <c r="N111" s="11"/>
      <c r="P111" s="11"/>
      <c r="Q111" s="11"/>
    </row>
    <row r="112" spans="1:17" x14ac:dyDescent="0.35">
      <c r="A112" s="217" t="s">
        <v>87</v>
      </c>
      <c r="B112" s="219">
        <v>95</v>
      </c>
      <c r="C112" s="220">
        <v>0.01</v>
      </c>
      <c r="D112" s="219">
        <v>95</v>
      </c>
      <c r="E112" s="219">
        <v>65</v>
      </c>
      <c r="F112" s="221">
        <v>0.69</v>
      </c>
      <c r="J112" s="39"/>
      <c r="N112" s="11"/>
      <c r="P112" s="11"/>
      <c r="Q112" s="11"/>
    </row>
    <row r="113" spans="1:17" x14ac:dyDescent="0.35">
      <c r="A113" s="217" t="s">
        <v>143</v>
      </c>
      <c r="B113" s="219">
        <v>260</v>
      </c>
      <c r="C113" s="220">
        <v>0.01</v>
      </c>
      <c r="D113" s="219">
        <v>255</v>
      </c>
      <c r="E113" s="219">
        <v>180</v>
      </c>
      <c r="F113" s="221">
        <v>0.7</v>
      </c>
      <c r="J113" s="39"/>
      <c r="N113" s="11"/>
      <c r="P113" s="11"/>
      <c r="Q113" s="11"/>
    </row>
    <row r="114" spans="1:17" x14ac:dyDescent="0.35">
      <c r="A114" s="217" t="s">
        <v>88</v>
      </c>
      <c r="B114" s="219">
        <v>10</v>
      </c>
      <c r="C114" s="220">
        <v>0</v>
      </c>
      <c r="D114" s="219">
        <v>10</v>
      </c>
      <c r="E114" s="219">
        <v>10</v>
      </c>
      <c r="F114" s="221">
        <v>1</v>
      </c>
      <c r="J114" s="39"/>
      <c r="N114" s="11"/>
      <c r="P114" s="11"/>
      <c r="Q114" s="11"/>
    </row>
    <row r="115" spans="1:17" x14ac:dyDescent="0.35">
      <c r="A115" s="217" t="s">
        <v>89</v>
      </c>
      <c r="B115" s="219">
        <v>10</v>
      </c>
      <c r="C115" s="220">
        <v>0</v>
      </c>
      <c r="D115" s="219">
        <v>15</v>
      </c>
      <c r="E115" s="219">
        <v>10</v>
      </c>
      <c r="F115" s="221">
        <v>0.69</v>
      </c>
      <c r="J115" s="39"/>
      <c r="N115" s="11"/>
      <c r="P115" s="11"/>
      <c r="Q115" s="11"/>
    </row>
    <row r="116" spans="1:17" x14ac:dyDescent="0.35">
      <c r="A116" s="217" t="s">
        <v>90</v>
      </c>
      <c r="B116" s="219">
        <v>5</v>
      </c>
      <c r="C116" s="220">
        <v>0</v>
      </c>
      <c r="D116" s="219">
        <v>5</v>
      </c>
      <c r="E116" s="219">
        <v>5</v>
      </c>
      <c r="F116" s="221">
        <v>0.75</v>
      </c>
      <c r="J116" s="39"/>
      <c r="N116" s="11"/>
      <c r="P116" s="11"/>
      <c r="Q116" s="11"/>
    </row>
    <row r="117" spans="1:17" x14ac:dyDescent="0.35">
      <c r="A117" s="217" t="s">
        <v>144</v>
      </c>
      <c r="B117" s="219">
        <v>25</v>
      </c>
      <c r="C117" s="220">
        <v>0</v>
      </c>
      <c r="D117" s="219">
        <v>25</v>
      </c>
      <c r="E117" s="219">
        <v>20</v>
      </c>
      <c r="F117" s="221">
        <v>0.8</v>
      </c>
      <c r="J117" s="39"/>
      <c r="N117" s="11"/>
      <c r="P117" s="11"/>
      <c r="Q117" s="11"/>
    </row>
    <row r="118" spans="1:17" x14ac:dyDescent="0.35">
      <c r="A118" s="217" t="s">
        <v>91</v>
      </c>
      <c r="B118" s="219">
        <v>90</v>
      </c>
      <c r="C118" s="220">
        <v>0.02</v>
      </c>
      <c r="D118" s="219">
        <v>80</v>
      </c>
      <c r="E118" s="219">
        <v>65</v>
      </c>
      <c r="F118" s="221">
        <v>0.8</v>
      </c>
      <c r="J118" s="39"/>
      <c r="N118" s="11"/>
      <c r="P118" s="11"/>
      <c r="Q118" s="11"/>
    </row>
    <row r="119" spans="1:17" x14ac:dyDescent="0.35">
      <c r="A119" s="217" t="s">
        <v>92</v>
      </c>
      <c r="B119" s="219">
        <v>185</v>
      </c>
      <c r="C119" s="220">
        <v>0.02</v>
      </c>
      <c r="D119" s="219">
        <v>190</v>
      </c>
      <c r="E119" s="219">
        <v>130</v>
      </c>
      <c r="F119" s="221">
        <v>0.69</v>
      </c>
      <c r="J119" s="39"/>
      <c r="N119" s="11"/>
      <c r="P119" s="11"/>
      <c r="Q119" s="11"/>
    </row>
    <row r="120" spans="1:17" x14ac:dyDescent="0.35">
      <c r="A120" s="217" t="s">
        <v>93</v>
      </c>
      <c r="B120" s="219">
        <v>150</v>
      </c>
      <c r="C120" s="220">
        <v>0.02</v>
      </c>
      <c r="D120" s="219">
        <v>135</v>
      </c>
      <c r="E120" s="219">
        <v>100</v>
      </c>
      <c r="F120" s="221">
        <v>0.74</v>
      </c>
      <c r="J120" s="39"/>
      <c r="N120" s="11"/>
      <c r="P120" s="11"/>
      <c r="Q120" s="11"/>
    </row>
    <row r="121" spans="1:17" x14ac:dyDescent="0.35">
      <c r="A121" s="217" t="s">
        <v>145</v>
      </c>
      <c r="B121" s="219">
        <v>425</v>
      </c>
      <c r="C121" s="220">
        <v>0.02</v>
      </c>
      <c r="D121" s="219">
        <v>400</v>
      </c>
      <c r="E121" s="219">
        <v>290</v>
      </c>
      <c r="F121" s="221">
        <v>0.73</v>
      </c>
      <c r="J121" s="39"/>
      <c r="N121" s="11"/>
      <c r="P121" s="11"/>
      <c r="Q121" s="11"/>
    </row>
    <row r="122" spans="1:17" x14ac:dyDescent="0.35">
      <c r="A122" s="217" t="s">
        <v>94</v>
      </c>
      <c r="B122" s="219">
        <v>275</v>
      </c>
      <c r="C122" s="220">
        <v>7.0000000000000007E-2</v>
      </c>
      <c r="D122" s="219">
        <v>245</v>
      </c>
      <c r="E122" s="219">
        <v>205</v>
      </c>
      <c r="F122" s="221">
        <v>0.82</v>
      </c>
      <c r="J122" s="39"/>
      <c r="N122" s="11"/>
      <c r="P122" s="11"/>
      <c r="Q122" s="11"/>
    </row>
    <row r="123" spans="1:17" x14ac:dyDescent="0.35">
      <c r="A123" s="217" t="s">
        <v>95</v>
      </c>
      <c r="B123" s="219">
        <v>640</v>
      </c>
      <c r="C123" s="220">
        <v>7.0000000000000007E-2</v>
      </c>
      <c r="D123" s="219">
        <v>635</v>
      </c>
      <c r="E123" s="219">
        <v>495</v>
      </c>
      <c r="F123" s="221">
        <v>0.78</v>
      </c>
      <c r="J123" s="39"/>
      <c r="N123" s="11"/>
      <c r="P123" s="11"/>
      <c r="Q123" s="11"/>
    </row>
    <row r="124" spans="1:17" x14ac:dyDescent="0.35">
      <c r="A124" s="217" t="s">
        <v>96</v>
      </c>
      <c r="B124" s="219">
        <v>480</v>
      </c>
      <c r="C124" s="220">
        <v>7.0000000000000007E-2</v>
      </c>
      <c r="D124" s="219">
        <v>450</v>
      </c>
      <c r="E124" s="219">
        <v>340</v>
      </c>
      <c r="F124" s="221">
        <v>0.75</v>
      </c>
      <c r="J124" s="39"/>
      <c r="N124" s="11"/>
      <c r="P124" s="11"/>
      <c r="Q124" s="11"/>
    </row>
    <row r="125" spans="1:17" x14ac:dyDescent="0.35">
      <c r="A125" s="217" t="s">
        <v>146</v>
      </c>
      <c r="B125" s="219">
        <v>1400</v>
      </c>
      <c r="C125" s="220">
        <v>7.0000000000000007E-2</v>
      </c>
      <c r="D125" s="219">
        <v>1330</v>
      </c>
      <c r="E125" s="219">
        <v>1040</v>
      </c>
      <c r="F125" s="221">
        <v>0.78</v>
      </c>
      <c r="J125" s="39"/>
      <c r="N125" s="11"/>
      <c r="P125" s="11"/>
      <c r="Q125" s="11"/>
    </row>
    <row r="126" spans="1:17" x14ac:dyDescent="0.35">
      <c r="A126" s="217" t="s">
        <v>97</v>
      </c>
      <c r="B126" s="219">
        <v>50</v>
      </c>
      <c r="C126" s="220">
        <v>0.01</v>
      </c>
      <c r="D126" s="219">
        <v>45</v>
      </c>
      <c r="E126" s="219">
        <v>30</v>
      </c>
      <c r="F126" s="221">
        <v>0.73</v>
      </c>
      <c r="J126" s="39"/>
      <c r="N126" s="11"/>
      <c r="P126" s="11"/>
      <c r="Q126" s="11"/>
    </row>
    <row r="127" spans="1:17" x14ac:dyDescent="0.35">
      <c r="A127" s="217" t="s">
        <v>98</v>
      </c>
      <c r="B127" s="219">
        <v>95</v>
      </c>
      <c r="C127" s="220">
        <v>0.01</v>
      </c>
      <c r="D127" s="219">
        <v>90</v>
      </c>
      <c r="E127" s="219">
        <v>75</v>
      </c>
      <c r="F127" s="221">
        <v>0.84</v>
      </c>
      <c r="J127" s="39"/>
      <c r="N127" s="11"/>
      <c r="P127" s="11"/>
      <c r="Q127" s="11"/>
    </row>
    <row r="128" spans="1:17" x14ac:dyDescent="0.35">
      <c r="A128" s="217" t="s">
        <v>99</v>
      </c>
      <c r="B128" s="219">
        <v>85</v>
      </c>
      <c r="C128" s="220">
        <v>0.01</v>
      </c>
      <c r="D128" s="219">
        <v>85</v>
      </c>
      <c r="E128" s="219">
        <v>70</v>
      </c>
      <c r="F128" s="221">
        <v>0.82</v>
      </c>
      <c r="J128" s="39"/>
      <c r="N128" s="11"/>
      <c r="P128" s="11"/>
      <c r="Q128" s="11"/>
    </row>
    <row r="129" spans="1:17" x14ac:dyDescent="0.35">
      <c r="A129" s="217" t="s">
        <v>147</v>
      </c>
      <c r="B129" s="219">
        <v>235</v>
      </c>
      <c r="C129" s="220">
        <v>0.01</v>
      </c>
      <c r="D129" s="219">
        <v>220</v>
      </c>
      <c r="E129" s="219">
        <v>175</v>
      </c>
      <c r="F129" s="221">
        <v>0.81</v>
      </c>
      <c r="J129" s="39"/>
      <c r="N129" s="11"/>
      <c r="P129" s="11"/>
      <c r="Q129" s="11"/>
    </row>
    <row r="130" spans="1:17" x14ac:dyDescent="0.35">
      <c r="A130" s="217" t="s">
        <v>100</v>
      </c>
      <c r="B130" s="219">
        <v>3975</v>
      </c>
      <c r="C130" s="220">
        <v>1</v>
      </c>
      <c r="D130" s="219">
        <v>3445</v>
      </c>
      <c r="E130" s="219">
        <v>2685</v>
      </c>
      <c r="F130" s="221">
        <v>0.78</v>
      </c>
      <c r="J130" s="39"/>
      <c r="N130" s="11"/>
      <c r="P130" s="11"/>
      <c r="Q130" s="11"/>
    </row>
    <row r="131" spans="1:17" x14ac:dyDescent="0.35">
      <c r="A131" s="217" t="s">
        <v>101</v>
      </c>
      <c r="B131" s="219">
        <v>8685</v>
      </c>
      <c r="C131" s="220">
        <v>1</v>
      </c>
      <c r="D131" s="219">
        <v>8670</v>
      </c>
      <c r="E131" s="219">
        <v>6695</v>
      </c>
      <c r="F131" s="221">
        <v>0.77</v>
      </c>
      <c r="J131" s="39"/>
      <c r="N131" s="11"/>
      <c r="P131" s="11"/>
      <c r="Q131" s="11"/>
    </row>
    <row r="132" spans="1:17" x14ac:dyDescent="0.35">
      <c r="A132" s="217" t="s">
        <v>102</v>
      </c>
      <c r="B132" s="219">
        <v>6415</v>
      </c>
      <c r="C132" s="220">
        <v>1</v>
      </c>
      <c r="D132" s="219">
        <v>6085</v>
      </c>
      <c r="E132" s="219">
        <v>4655</v>
      </c>
      <c r="F132" s="221">
        <v>0.76</v>
      </c>
      <c r="J132" s="39"/>
      <c r="N132" s="11"/>
      <c r="P132" s="11"/>
      <c r="Q132" s="11"/>
    </row>
    <row r="133" spans="1:17" x14ac:dyDescent="0.35">
      <c r="A133" s="217" t="s">
        <v>148</v>
      </c>
      <c r="B133" s="219">
        <v>19075</v>
      </c>
      <c r="C133" s="220">
        <v>1</v>
      </c>
      <c r="D133" s="219">
        <v>18200</v>
      </c>
      <c r="E133" s="219">
        <v>14030</v>
      </c>
      <c r="F133" s="221">
        <v>0.77</v>
      </c>
      <c r="J133" s="39"/>
      <c r="N133" s="11"/>
      <c r="P133" s="11"/>
      <c r="Q133" s="11"/>
    </row>
    <row r="134" spans="1:17" x14ac:dyDescent="0.35">
      <c r="A134" s="217" t="s">
        <v>113</v>
      </c>
      <c r="B134" s="219" t="s">
        <v>194</v>
      </c>
      <c r="C134" s="221" t="s">
        <v>194</v>
      </c>
      <c r="D134" s="219">
        <v>0</v>
      </c>
      <c r="E134" s="219">
        <v>0</v>
      </c>
      <c r="F134" s="221">
        <v>0</v>
      </c>
      <c r="J134" s="39"/>
      <c r="N134" s="11"/>
      <c r="P134" s="11"/>
      <c r="Q134" s="11"/>
    </row>
    <row r="135" spans="1:17" x14ac:dyDescent="0.35">
      <c r="A135" s="217" t="s">
        <v>114</v>
      </c>
      <c r="B135" s="219">
        <v>5</v>
      </c>
      <c r="C135" s="220">
        <v>0</v>
      </c>
      <c r="D135" s="219">
        <v>5</v>
      </c>
      <c r="E135" s="219">
        <v>5</v>
      </c>
      <c r="F135" s="221">
        <v>0.86</v>
      </c>
      <c r="J135" s="39"/>
      <c r="N135" s="11"/>
      <c r="P135" s="11"/>
      <c r="Q135" s="11"/>
    </row>
    <row r="136" spans="1:17" x14ac:dyDescent="0.35">
      <c r="A136" s="217" t="s">
        <v>115</v>
      </c>
      <c r="B136" s="219">
        <v>5</v>
      </c>
      <c r="C136" s="220">
        <v>0</v>
      </c>
      <c r="D136" s="219">
        <v>5</v>
      </c>
      <c r="E136" s="219" t="s">
        <v>194</v>
      </c>
      <c r="F136" s="221" t="s">
        <v>194</v>
      </c>
      <c r="J136" s="39"/>
      <c r="N136" s="11"/>
      <c r="P136" s="11"/>
      <c r="Q136" s="11"/>
    </row>
    <row r="137" spans="1:17" x14ac:dyDescent="0.35">
      <c r="A137" s="217" t="s">
        <v>152</v>
      </c>
      <c r="B137" s="219">
        <v>10</v>
      </c>
      <c r="C137" s="220">
        <v>0</v>
      </c>
      <c r="D137" s="219">
        <v>10</v>
      </c>
      <c r="E137" s="219">
        <v>10</v>
      </c>
      <c r="F137" s="221">
        <v>0.8</v>
      </c>
      <c r="J137" s="39"/>
      <c r="N137" s="11"/>
      <c r="P137" s="11"/>
      <c r="Q137" s="11"/>
    </row>
    <row r="138" spans="1:17" x14ac:dyDescent="0.35">
      <c r="A138" s="217" t="s">
        <v>103</v>
      </c>
      <c r="B138" s="219">
        <v>100</v>
      </c>
      <c r="C138" s="220">
        <v>0.03</v>
      </c>
      <c r="D138" s="219">
        <v>90</v>
      </c>
      <c r="E138" s="219">
        <v>75</v>
      </c>
      <c r="F138" s="221">
        <v>0.8</v>
      </c>
      <c r="J138" s="39"/>
      <c r="N138" s="11"/>
      <c r="P138" s="11"/>
      <c r="Q138" s="11"/>
    </row>
    <row r="139" spans="1:17" x14ac:dyDescent="0.35">
      <c r="A139" s="217" t="s">
        <v>104</v>
      </c>
      <c r="B139" s="219">
        <v>205</v>
      </c>
      <c r="C139" s="220">
        <v>0.02</v>
      </c>
      <c r="D139" s="219">
        <v>205</v>
      </c>
      <c r="E139" s="219">
        <v>160</v>
      </c>
      <c r="F139" s="221">
        <v>0.78</v>
      </c>
      <c r="J139" s="39"/>
      <c r="N139" s="11"/>
      <c r="P139" s="11"/>
      <c r="Q139" s="11"/>
    </row>
    <row r="140" spans="1:17" x14ac:dyDescent="0.35">
      <c r="A140" s="217" t="s">
        <v>105</v>
      </c>
      <c r="B140" s="219">
        <v>170</v>
      </c>
      <c r="C140" s="220">
        <v>0.03</v>
      </c>
      <c r="D140" s="219">
        <v>165</v>
      </c>
      <c r="E140" s="219">
        <v>125</v>
      </c>
      <c r="F140" s="221">
        <v>0.76</v>
      </c>
      <c r="J140" s="39"/>
      <c r="N140" s="11"/>
      <c r="P140" s="11"/>
      <c r="Q140" s="11"/>
    </row>
    <row r="141" spans="1:17" x14ac:dyDescent="0.35">
      <c r="A141" s="217" t="s">
        <v>149</v>
      </c>
      <c r="B141" s="219">
        <v>475</v>
      </c>
      <c r="C141" s="220">
        <v>0.03</v>
      </c>
      <c r="D141" s="219">
        <v>460</v>
      </c>
      <c r="E141" s="219">
        <v>355</v>
      </c>
      <c r="F141" s="221">
        <v>0.78</v>
      </c>
      <c r="J141" s="39"/>
      <c r="N141" s="11"/>
      <c r="P141" s="11"/>
      <c r="Q141" s="11"/>
    </row>
    <row r="142" spans="1:17" x14ac:dyDescent="0.35">
      <c r="A142" s="217" t="s">
        <v>106</v>
      </c>
      <c r="B142" s="219">
        <v>130</v>
      </c>
      <c r="C142" s="220">
        <v>0.03</v>
      </c>
      <c r="D142" s="219">
        <v>110</v>
      </c>
      <c r="E142" s="219">
        <v>90</v>
      </c>
      <c r="F142" s="221">
        <v>0.79</v>
      </c>
      <c r="J142" s="39"/>
      <c r="N142" s="11"/>
      <c r="P142" s="11"/>
      <c r="Q142" s="11"/>
    </row>
    <row r="143" spans="1:17" x14ac:dyDescent="0.35">
      <c r="A143" s="217" t="s">
        <v>107</v>
      </c>
      <c r="B143" s="219">
        <v>260</v>
      </c>
      <c r="C143" s="220">
        <v>0.03</v>
      </c>
      <c r="D143" s="219">
        <v>265</v>
      </c>
      <c r="E143" s="219">
        <v>205</v>
      </c>
      <c r="F143" s="221">
        <v>0.78</v>
      </c>
      <c r="J143" s="39"/>
      <c r="N143" s="11"/>
      <c r="P143" s="11"/>
      <c r="Q143" s="11"/>
    </row>
    <row r="144" spans="1:17" x14ac:dyDescent="0.35">
      <c r="A144" s="217" t="s">
        <v>108</v>
      </c>
      <c r="B144" s="219">
        <v>200</v>
      </c>
      <c r="C144" s="220">
        <v>0.03</v>
      </c>
      <c r="D144" s="219">
        <v>190</v>
      </c>
      <c r="E144" s="219">
        <v>135</v>
      </c>
      <c r="F144" s="221">
        <v>0.72</v>
      </c>
      <c r="J144" s="39"/>
      <c r="N144" s="11"/>
      <c r="P144" s="11"/>
      <c r="Q144" s="11"/>
    </row>
    <row r="145" spans="1:17" x14ac:dyDescent="0.35">
      <c r="A145" s="217" t="s">
        <v>150</v>
      </c>
      <c r="B145" s="219">
        <v>590</v>
      </c>
      <c r="C145" s="220">
        <v>0.03</v>
      </c>
      <c r="D145" s="219">
        <v>565</v>
      </c>
      <c r="E145" s="219">
        <v>430</v>
      </c>
      <c r="F145" s="221">
        <v>0.76</v>
      </c>
      <c r="J145" s="39"/>
      <c r="N145" s="11"/>
      <c r="P145" s="11"/>
      <c r="Q145" s="11"/>
    </row>
    <row r="146" spans="1:17" x14ac:dyDescent="0.35">
      <c r="N146" s="11"/>
      <c r="P146" s="11"/>
      <c r="Q146" s="11"/>
    </row>
    <row r="147" spans="1:17" x14ac:dyDescent="0.35">
      <c r="N147" s="11"/>
      <c r="P147" s="11"/>
      <c r="Q147" s="11"/>
    </row>
    <row r="148" spans="1:17" x14ac:dyDescent="0.35">
      <c r="N148" s="11"/>
      <c r="P148" s="11"/>
      <c r="Q148" s="11"/>
    </row>
    <row r="149" spans="1:17" x14ac:dyDescent="0.35">
      <c r="N149" s="11"/>
      <c r="P149" s="11"/>
      <c r="Q149" s="11"/>
    </row>
    <row r="150" spans="1:17" x14ac:dyDescent="0.35">
      <c r="N150" s="11"/>
      <c r="P150" s="11"/>
      <c r="Q150" s="11"/>
    </row>
    <row r="151" spans="1:17" x14ac:dyDescent="0.35">
      <c r="N151" s="11"/>
      <c r="P151" s="11"/>
      <c r="Q151" s="11"/>
    </row>
    <row r="152" spans="1:17" x14ac:dyDescent="0.35">
      <c r="N152" s="11"/>
      <c r="P152" s="11"/>
      <c r="Q152" s="11"/>
    </row>
    <row r="153" spans="1:17" x14ac:dyDescent="0.35">
      <c r="N153" s="11"/>
      <c r="P153" s="11"/>
      <c r="Q153" s="11"/>
    </row>
    <row r="154" spans="1:17" x14ac:dyDescent="0.35">
      <c r="N154" s="11"/>
      <c r="P154" s="11"/>
      <c r="Q154" s="11"/>
    </row>
    <row r="155" spans="1:17" x14ac:dyDescent="0.35">
      <c r="N155" s="11"/>
      <c r="P155" s="11"/>
      <c r="Q155" s="11"/>
    </row>
    <row r="156" spans="1:17" x14ac:dyDescent="0.35">
      <c r="N156" s="11"/>
      <c r="P156" s="11"/>
      <c r="Q156" s="11"/>
    </row>
    <row r="157" spans="1:17" x14ac:dyDescent="0.35">
      <c r="N157" s="11"/>
      <c r="P157" s="11"/>
      <c r="Q157" s="11"/>
    </row>
    <row r="158" spans="1:17" x14ac:dyDescent="0.35">
      <c r="N158" s="11"/>
      <c r="P158" s="11"/>
      <c r="Q158" s="11"/>
    </row>
    <row r="159" spans="1:17" x14ac:dyDescent="0.35">
      <c r="N159" s="11"/>
      <c r="P159" s="11"/>
      <c r="Q159" s="11"/>
    </row>
    <row r="160" spans="1:17" x14ac:dyDescent="0.35">
      <c r="N160" s="11"/>
      <c r="P160" s="11"/>
      <c r="Q160" s="11"/>
    </row>
    <row r="161" spans="14:17" x14ac:dyDescent="0.35">
      <c r="N161" s="11"/>
      <c r="P161" s="11"/>
      <c r="Q161" s="11"/>
    </row>
    <row r="162" spans="14:17" x14ac:dyDescent="0.35">
      <c r="N162" s="11"/>
      <c r="P162" s="11"/>
      <c r="Q162" s="11"/>
    </row>
    <row r="163" spans="14:17" x14ac:dyDescent="0.35">
      <c r="N163" s="11"/>
      <c r="P163" s="11"/>
      <c r="Q163" s="11"/>
    </row>
    <row r="164" spans="14:17" x14ac:dyDescent="0.35">
      <c r="N164" s="11"/>
      <c r="P164" s="11"/>
      <c r="Q164" s="11"/>
    </row>
    <row r="165" spans="14:17" x14ac:dyDescent="0.35">
      <c r="N165" s="11"/>
      <c r="P165" s="11"/>
      <c r="Q165" s="11"/>
    </row>
    <row r="166" spans="14:17" x14ac:dyDescent="0.35">
      <c r="N166" s="11"/>
      <c r="P166" s="11"/>
      <c r="Q166" s="11"/>
    </row>
    <row r="167" spans="14:17" x14ac:dyDescent="0.35">
      <c r="N167" s="11"/>
      <c r="P167" s="11"/>
      <c r="Q167" s="11"/>
    </row>
    <row r="168" spans="14:17" x14ac:dyDescent="0.35">
      <c r="N168" s="11"/>
      <c r="P168" s="11"/>
      <c r="Q168" s="11"/>
    </row>
    <row r="169" spans="14:17" x14ac:dyDescent="0.35">
      <c r="N169" s="11"/>
      <c r="P169" s="11"/>
      <c r="Q169" s="11"/>
    </row>
    <row r="170" spans="14:17" x14ac:dyDescent="0.35">
      <c r="N170" s="11"/>
    </row>
    <row r="171" spans="14:17" x14ac:dyDescent="0.35">
      <c r="N171" s="11"/>
    </row>
    <row r="172" spans="14:17" x14ac:dyDescent="0.35">
      <c r="N172" s="11"/>
    </row>
    <row r="173" spans="14:17" x14ac:dyDescent="0.35">
      <c r="N173" s="11"/>
    </row>
    <row r="174" spans="14:17" x14ac:dyDescent="0.35">
      <c r="N174" s="11"/>
    </row>
    <row r="175" spans="14:17" x14ac:dyDescent="0.35">
      <c r="N175" s="11"/>
    </row>
    <row r="176" spans="14:17" x14ac:dyDescent="0.35">
      <c r="N176" s="11"/>
    </row>
    <row r="177" spans="14:14" x14ac:dyDescent="0.35">
      <c r="N177" s="11"/>
    </row>
    <row r="178" spans="14:14" x14ac:dyDescent="0.35">
      <c r="N178" s="11"/>
    </row>
    <row r="179" spans="14:14" x14ac:dyDescent="0.35">
      <c r="N179" s="11"/>
    </row>
    <row r="180" spans="14:14" x14ac:dyDescent="0.35">
      <c r="N180" s="11"/>
    </row>
    <row r="181" spans="14:14" x14ac:dyDescent="0.35">
      <c r="N181" s="11"/>
    </row>
    <row r="182" spans="14:14" x14ac:dyDescent="0.35">
      <c r="N182" s="11"/>
    </row>
    <row r="183" spans="14:14" x14ac:dyDescent="0.35">
      <c r="N183" s="11"/>
    </row>
    <row r="184" spans="14:14" x14ac:dyDescent="0.35">
      <c r="N184" s="11"/>
    </row>
    <row r="185" spans="14:14" x14ac:dyDescent="0.35">
      <c r="N185" s="11"/>
    </row>
    <row r="186" spans="14:14" x14ac:dyDescent="0.35">
      <c r="N186" s="11"/>
    </row>
    <row r="187" spans="14:14" x14ac:dyDescent="0.35">
      <c r="N187" s="11"/>
    </row>
    <row r="188" spans="14:14" x14ac:dyDescent="0.35">
      <c r="N188" s="11"/>
    </row>
    <row r="189" spans="14:14" x14ac:dyDescent="0.35">
      <c r="N189" s="11"/>
    </row>
    <row r="190" spans="14:14" x14ac:dyDescent="0.35">
      <c r="N190" s="11"/>
    </row>
    <row r="191" spans="14:14" x14ac:dyDescent="0.35">
      <c r="N191" s="11"/>
    </row>
    <row r="192" spans="14:14" x14ac:dyDescent="0.35">
      <c r="N192" s="11"/>
    </row>
    <row r="193" spans="14:14" x14ac:dyDescent="0.35">
      <c r="N193" s="11"/>
    </row>
    <row r="194" spans="14:14" x14ac:dyDescent="0.35">
      <c r="N194" s="11"/>
    </row>
    <row r="195" spans="14:14" x14ac:dyDescent="0.35">
      <c r="N195" s="11"/>
    </row>
    <row r="196" spans="14:14" x14ac:dyDescent="0.35">
      <c r="N196" s="11"/>
    </row>
    <row r="197" spans="14:14" x14ac:dyDescent="0.35">
      <c r="N197" s="11"/>
    </row>
    <row r="198" spans="14:14" x14ac:dyDescent="0.35">
      <c r="N198" s="11"/>
    </row>
    <row r="199" spans="14:14" x14ac:dyDescent="0.35">
      <c r="N199" s="11"/>
    </row>
    <row r="200" spans="14:14" x14ac:dyDescent="0.35">
      <c r="N200" s="11"/>
    </row>
    <row r="201" spans="14:14" x14ac:dyDescent="0.35">
      <c r="N201" s="11"/>
    </row>
    <row r="202" spans="14:14" x14ac:dyDescent="0.35">
      <c r="N202" s="11"/>
    </row>
    <row r="203" spans="14:14" x14ac:dyDescent="0.35">
      <c r="N203" s="11"/>
    </row>
    <row r="204" spans="14:14" x14ac:dyDescent="0.35">
      <c r="N204" s="11"/>
    </row>
    <row r="205" spans="14:14" x14ac:dyDescent="0.35">
      <c r="N205" s="11"/>
    </row>
    <row r="206" spans="14:14" x14ac:dyDescent="0.35">
      <c r="N206" s="11"/>
    </row>
    <row r="207" spans="14:14" x14ac:dyDescent="0.35">
      <c r="N207" s="11"/>
    </row>
    <row r="208" spans="14:14" x14ac:dyDescent="0.35">
      <c r="N208" s="11"/>
    </row>
    <row r="209" spans="14:14" x14ac:dyDescent="0.35">
      <c r="N209" s="11"/>
    </row>
    <row r="210" spans="14:14" x14ac:dyDescent="0.35">
      <c r="N210" s="11"/>
    </row>
    <row r="211" spans="14:14" x14ac:dyDescent="0.35">
      <c r="N211" s="11"/>
    </row>
    <row r="212" spans="14:14" x14ac:dyDescent="0.35">
      <c r="N212" s="11"/>
    </row>
    <row r="213" spans="14:14" x14ac:dyDescent="0.35">
      <c r="N213" s="11"/>
    </row>
    <row r="214" spans="14:14" x14ac:dyDescent="0.35">
      <c r="N214" s="11"/>
    </row>
    <row r="215" spans="14:14" x14ac:dyDescent="0.35">
      <c r="N215" s="11"/>
    </row>
    <row r="216" spans="14:14" x14ac:dyDescent="0.35">
      <c r="N216" s="11"/>
    </row>
    <row r="217" spans="14:14" x14ac:dyDescent="0.35">
      <c r="N217" s="11"/>
    </row>
    <row r="218" spans="14:14" x14ac:dyDescent="0.35">
      <c r="N218" s="11"/>
    </row>
    <row r="219" spans="14:14" x14ac:dyDescent="0.35">
      <c r="N219" s="11"/>
    </row>
    <row r="220" spans="14:14" x14ac:dyDescent="0.35">
      <c r="N220" s="11"/>
    </row>
    <row r="221" spans="14:14" x14ac:dyDescent="0.35">
      <c r="N221" s="11"/>
    </row>
    <row r="222" spans="14:14" x14ac:dyDescent="0.35">
      <c r="N222" s="11"/>
    </row>
    <row r="223" spans="14:14" x14ac:dyDescent="0.35">
      <c r="N223" s="11"/>
    </row>
    <row r="224" spans="14:14" x14ac:dyDescent="0.35">
      <c r="N224" s="11"/>
    </row>
    <row r="225" spans="13:14" x14ac:dyDescent="0.35">
      <c r="M225" s="11"/>
      <c r="N225" s="11"/>
    </row>
    <row r="226" spans="13:14" x14ac:dyDescent="0.35">
      <c r="M226" s="11"/>
      <c r="N226" s="11"/>
    </row>
    <row r="227" spans="13:14" x14ac:dyDescent="0.35">
      <c r="M227" s="11"/>
      <c r="N227" s="11"/>
    </row>
    <row r="228" spans="13:14" x14ac:dyDescent="0.35">
      <c r="M228" s="11"/>
      <c r="N228" s="11"/>
    </row>
    <row r="229" spans="13:14" x14ac:dyDescent="0.35">
      <c r="M229" s="11"/>
      <c r="N229" s="11"/>
    </row>
    <row r="230" spans="13:14" x14ac:dyDescent="0.35">
      <c r="M230" s="11"/>
      <c r="N230" s="11"/>
    </row>
    <row r="231" spans="13:14" x14ac:dyDescent="0.35">
      <c r="M231" s="11"/>
      <c r="N231" s="11"/>
    </row>
    <row r="232" spans="13:14" x14ac:dyDescent="0.35">
      <c r="M232" s="11"/>
      <c r="N232" s="11"/>
    </row>
    <row r="233" spans="13:14" x14ac:dyDescent="0.35">
      <c r="M233" s="11"/>
      <c r="N233" s="11"/>
    </row>
    <row r="234" spans="13:14" x14ac:dyDescent="0.35">
      <c r="M234" s="11"/>
      <c r="N234" s="11"/>
    </row>
    <row r="235" spans="13:14" x14ac:dyDescent="0.35">
      <c r="M235" s="11"/>
      <c r="N235" s="11"/>
    </row>
    <row r="236" spans="13:14" x14ac:dyDescent="0.35">
      <c r="M236" s="11"/>
      <c r="N236" s="11"/>
    </row>
    <row r="237" spans="13:14" x14ac:dyDescent="0.35">
      <c r="M237" s="11"/>
      <c r="N237" s="11"/>
    </row>
    <row r="238" spans="13:14" x14ac:dyDescent="0.35">
      <c r="M238" s="11"/>
      <c r="N238" s="11"/>
    </row>
    <row r="239" spans="13:14" x14ac:dyDescent="0.35">
      <c r="M239" s="11"/>
      <c r="N239" s="11"/>
    </row>
    <row r="240" spans="13:14" x14ac:dyDescent="0.35">
      <c r="M240" s="11"/>
      <c r="N240" s="11"/>
    </row>
    <row r="241" spans="13:14" x14ac:dyDescent="0.35">
      <c r="M241" s="11"/>
      <c r="N241" s="11"/>
    </row>
    <row r="242" spans="13:14" x14ac:dyDescent="0.35">
      <c r="M242" s="11"/>
    </row>
    <row r="243" spans="13:14" x14ac:dyDescent="0.35">
      <c r="M243" s="11"/>
    </row>
    <row r="244" spans="13:14" x14ac:dyDescent="0.35">
      <c r="M244" s="11"/>
    </row>
    <row r="245" spans="13:14" x14ac:dyDescent="0.35">
      <c r="M245" s="11"/>
    </row>
    <row r="246" spans="13:14" x14ac:dyDescent="0.35">
      <c r="M246" s="11"/>
    </row>
    <row r="247" spans="13:14" x14ac:dyDescent="0.35">
      <c r="M247" s="11"/>
    </row>
    <row r="248" spans="13:14" x14ac:dyDescent="0.35">
      <c r="M248" s="11"/>
    </row>
    <row r="249" spans="13:14" x14ac:dyDescent="0.35">
      <c r="M249" s="11"/>
    </row>
    <row r="250" spans="13:14" x14ac:dyDescent="0.35">
      <c r="M250" s="11"/>
    </row>
    <row r="251" spans="13:14" x14ac:dyDescent="0.35">
      <c r="M251" s="11"/>
    </row>
    <row r="252" spans="13:14" x14ac:dyDescent="0.35">
      <c r="M252" s="11"/>
    </row>
    <row r="253" spans="13:14" x14ac:dyDescent="0.35">
      <c r="M253" s="11"/>
    </row>
    <row r="254" spans="13:14" x14ac:dyDescent="0.35">
      <c r="M254" s="11"/>
    </row>
    <row r="255" spans="13:14" x14ac:dyDescent="0.35">
      <c r="M255" s="11"/>
    </row>
    <row r="256" spans="13:14" x14ac:dyDescent="0.35">
      <c r="M256" s="11"/>
    </row>
    <row r="257" spans="13:13" x14ac:dyDescent="0.35">
      <c r="M257" s="11"/>
    </row>
    <row r="258" spans="13:13" x14ac:dyDescent="0.35">
      <c r="M258" s="11"/>
    </row>
    <row r="259" spans="13:13" x14ac:dyDescent="0.35">
      <c r="M259" s="11"/>
    </row>
    <row r="260" spans="13:13" x14ac:dyDescent="0.35">
      <c r="M260" s="11"/>
    </row>
    <row r="261" spans="13:13" x14ac:dyDescent="0.35">
      <c r="M261" s="11"/>
    </row>
    <row r="262" spans="13:13" x14ac:dyDescent="0.35">
      <c r="M262" s="11"/>
    </row>
    <row r="263" spans="13:13" x14ac:dyDescent="0.35">
      <c r="M263" s="11"/>
    </row>
    <row r="264" spans="13:13" x14ac:dyDescent="0.35">
      <c r="M264" s="11"/>
    </row>
    <row r="265" spans="13:13" x14ac:dyDescent="0.35">
      <c r="M265" s="11"/>
    </row>
    <row r="266" spans="13:13" x14ac:dyDescent="0.35">
      <c r="M266" s="11"/>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155"/>
  <sheetViews>
    <sheetView zoomScaleNormal="100" workbookViewId="0"/>
  </sheetViews>
  <sheetFormatPr defaultRowHeight="14.5" x14ac:dyDescent="0.35"/>
  <cols>
    <col min="1" max="1" width="40" style="11" customWidth="1"/>
    <col min="2" max="2" width="35.54296875" style="11" customWidth="1"/>
    <col min="3" max="3" width="24.26953125" style="11" customWidth="1"/>
    <col min="4" max="4" width="10.81640625" customWidth="1"/>
  </cols>
  <sheetData>
    <row r="1" spans="1:4" ht="31" x14ac:dyDescent="0.35">
      <c r="A1" s="222" t="s">
        <v>338</v>
      </c>
      <c r="B1" s="223" t="s">
        <v>283</v>
      </c>
      <c r="C1" s="156" t="s">
        <v>337</v>
      </c>
      <c r="D1" s="37" t="s">
        <v>112</v>
      </c>
    </row>
    <row r="2" spans="1:4" ht="15.5" x14ac:dyDescent="0.35">
      <c r="A2" s="139" t="s">
        <v>100</v>
      </c>
      <c r="B2" s="192">
        <v>3476815</v>
      </c>
      <c r="C2" s="210">
        <v>2310</v>
      </c>
      <c r="D2" s="214" t="s">
        <v>109</v>
      </c>
    </row>
    <row r="3" spans="1:4" ht="15.5" x14ac:dyDescent="0.35">
      <c r="A3" s="139" t="s">
        <v>16</v>
      </c>
      <c r="B3" s="192">
        <v>66484</v>
      </c>
      <c r="C3" s="210">
        <v>45</v>
      </c>
      <c r="D3" s="139" t="s">
        <v>110</v>
      </c>
    </row>
    <row r="4" spans="1:4" ht="15.5" x14ac:dyDescent="0.35">
      <c r="A4" s="139" t="s">
        <v>19</v>
      </c>
      <c r="B4" s="192">
        <v>63759</v>
      </c>
      <c r="C4" s="210">
        <v>45</v>
      </c>
      <c r="D4" s="139" t="s">
        <v>111</v>
      </c>
    </row>
    <row r="5" spans="1:4" ht="15.5" x14ac:dyDescent="0.35">
      <c r="A5" s="139" t="s">
        <v>22</v>
      </c>
      <c r="B5" s="192">
        <v>46131</v>
      </c>
      <c r="C5" s="210">
        <v>30</v>
      </c>
      <c r="D5" s="215" t="s">
        <v>119</v>
      </c>
    </row>
    <row r="6" spans="1:4" ht="15.5" x14ac:dyDescent="0.35">
      <c r="A6" s="139" t="s">
        <v>274</v>
      </c>
      <c r="B6" s="192">
        <v>59583</v>
      </c>
      <c r="C6" s="210">
        <v>40</v>
      </c>
    </row>
    <row r="7" spans="1:4" ht="15.5" x14ac:dyDescent="0.35">
      <c r="A7" s="139" t="s">
        <v>25</v>
      </c>
      <c r="B7" s="192">
        <v>43713</v>
      </c>
      <c r="C7" s="210">
        <v>30</v>
      </c>
    </row>
    <row r="8" spans="1:4" ht="15.5" x14ac:dyDescent="0.35">
      <c r="A8" s="139" t="s">
        <v>190</v>
      </c>
      <c r="B8" s="192">
        <v>89658</v>
      </c>
      <c r="C8" s="210">
        <v>55</v>
      </c>
    </row>
    <row r="9" spans="1:4" ht="15.5" x14ac:dyDescent="0.35">
      <c r="A9" s="139" t="s">
        <v>28</v>
      </c>
      <c r="B9" s="192">
        <v>205332</v>
      </c>
      <c r="C9" s="210">
        <v>120</v>
      </c>
    </row>
    <row r="10" spans="1:4" ht="15.5" x14ac:dyDescent="0.35">
      <c r="A10" s="139" t="s">
        <v>31</v>
      </c>
      <c r="B10" s="192">
        <v>112887</v>
      </c>
      <c r="C10" s="210">
        <v>75</v>
      </c>
    </row>
    <row r="11" spans="1:4" ht="15.5" x14ac:dyDescent="0.35">
      <c r="A11" s="139" t="s">
        <v>34</v>
      </c>
      <c r="B11" s="192">
        <v>35040</v>
      </c>
      <c r="C11" s="210">
        <v>20</v>
      </c>
    </row>
    <row r="12" spans="1:4" ht="15.5" x14ac:dyDescent="0.35">
      <c r="A12" s="139" t="s">
        <v>37</v>
      </c>
      <c r="B12" s="192">
        <v>31295</v>
      </c>
      <c r="C12" s="210">
        <v>20</v>
      </c>
    </row>
    <row r="13" spans="1:4" ht="15.5" x14ac:dyDescent="0.35">
      <c r="A13" s="139" t="s">
        <v>40</v>
      </c>
      <c r="B13" s="192">
        <v>46327</v>
      </c>
      <c r="C13" s="210">
        <v>30</v>
      </c>
    </row>
    <row r="14" spans="1:4" ht="15.5" x14ac:dyDescent="0.35">
      <c r="A14" s="139" t="s">
        <v>43</v>
      </c>
      <c r="B14" s="192">
        <v>144949</v>
      </c>
      <c r="C14" s="210">
        <v>95</v>
      </c>
    </row>
    <row r="15" spans="1:4" ht="15.5" x14ac:dyDescent="0.35">
      <c r="A15" s="139" t="s">
        <v>46</v>
      </c>
      <c r="B15" s="192">
        <v>79272</v>
      </c>
      <c r="C15" s="210">
        <v>60</v>
      </c>
    </row>
    <row r="16" spans="1:4" ht="15.5" x14ac:dyDescent="0.35">
      <c r="A16" s="139" t="s">
        <v>49</v>
      </c>
      <c r="B16" s="192">
        <v>147206</v>
      </c>
      <c r="C16" s="210">
        <v>110</v>
      </c>
    </row>
    <row r="17" spans="1:7" ht="15.5" x14ac:dyDescent="0.35">
      <c r="A17" s="139" t="s">
        <v>52</v>
      </c>
      <c r="B17" s="192">
        <v>805675</v>
      </c>
      <c r="C17" s="210">
        <v>545</v>
      </c>
    </row>
    <row r="18" spans="1:7" ht="15.5" x14ac:dyDescent="0.35">
      <c r="A18" s="139" t="s">
        <v>55</v>
      </c>
      <c r="B18" s="192">
        <v>101242</v>
      </c>
      <c r="C18" s="210">
        <v>65</v>
      </c>
    </row>
    <row r="19" spans="1:7" ht="15.5" x14ac:dyDescent="0.35">
      <c r="A19" s="139" t="s">
        <v>58</v>
      </c>
      <c r="B19" s="192">
        <v>66384</v>
      </c>
      <c r="C19" s="210">
        <v>50</v>
      </c>
    </row>
    <row r="20" spans="1:7" ht="15.5" x14ac:dyDescent="0.35">
      <c r="A20" s="139" t="s">
        <v>61</v>
      </c>
      <c r="B20" s="212">
        <v>38090</v>
      </c>
      <c r="C20" s="210">
        <v>25</v>
      </c>
    </row>
    <row r="21" spans="1:7" ht="15.5" x14ac:dyDescent="0.35">
      <c r="A21" s="139" t="s">
        <v>64</v>
      </c>
      <c r="B21" s="212">
        <v>25880</v>
      </c>
      <c r="C21" s="210">
        <v>15</v>
      </c>
    </row>
    <row r="22" spans="1:7" ht="15.5" x14ac:dyDescent="0.35">
      <c r="A22" s="139" t="s">
        <v>67</v>
      </c>
      <c r="B22" s="212">
        <v>6861</v>
      </c>
      <c r="C22" s="210">
        <v>5</v>
      </c>
    </row>
    <row r="23" spans="1:7" ht="15.5" x14ac:dyDescent="0.35">
      <c r="A23" s="139" t="s">
        <v>290</v>
      </c>
      <c r="B23" s="213">
        <v>0</v>
      </c>
      <c r="C23" s="210">
        <v>0</v>
      </c>
    </row>
    <row r="24" spans="1:7" ht="15.5" x14ac:dyDescent="0.35">
      <c r="A24" s="139" t="s">
        <v>116</v>
      </c>
      <c r="B24" s="213" t="s">
        <v>194</v>
      </c>
      <c r="C24" s="224" t="s">
        <v>194</v>
      </c>
      <c r="G24" s="11"/>
    </row>
    <row r="25" spans="1:7" ht="15.5" x14ac:dyDescent="0.35">
      <c r="A25" s="139" t="s">
        <v>73</v>
      </c>
      <c r="B25" s="213">
        <v>149623</v>
      </c>
      <c r="C25" s="210">
        <v>95</v>
      </c>
    </row>
    <row r="26" spans="1:7" ht="15.5" x14ac:dyDescent="0.35">
      <c r="A26" s="139" t="s">
        <v>76</v>
      </c>
      <c r="B26" s="213">
        <v>345270</v>
      </c>
      <c r="C26" s="210">
        <v>215</v>
      </c>
    </row>
    <row r="27" spans="1:7" ht="15.5" x14ac:dyDescent="0.35">
      <c r="A27" s="139" t="s">
        <v>79</v>
      </c>
      <c r="B27" s="213" t="s">
        <v>194</v>
      </c>
      <c r="C27" s="224" t="s">
        <v>194</v>
      </c>
    </row>
    <row r="28" spans="1:7" ht="15.5" x14ac:dyDescent="0.35">
      <c r="A28" s="139" t="s">
        <v>278</v>
      </c>
      <c r="B28" s="212">
        <v>43829</v>
      </c>
      <c r="C28" s="210">
        <v>25</v>
      </c>
    </row>
    <row r="29" spans="1:7" ht="15.5" x14ac:dyDescent="0.35">
      <c r="A29" s="139" t="s">
        <v>82</v>
      </c>
      <c r="B29" s="212">
        <v>91556</v>
      </c>
      <c r="C29" s="210">
        <v>65</v>
      </c>
    </row>
    <row r="30" spans="1:7" ht="15.5" x14ac:dyDescent="0.35">
      <c r="A30" s="139" t="s">
        <v>85</v>
      </c>
      <c r="B30" s="212">
        <v>38128</v>
      </c>
      <c r="C30" s="210">
        <v>25</v>
      </c>
    </row>
    <row r="31" spans="1:7" ht="15.5" x14ac:dyDescent="0.35">
      <c r="A31" s="139" t="s">
        <v>88</v>
      </c>
      <c r="B31" s="212">
        <v>9422</v>
      </c>
      <c r="C31" s="210">
        <v>5</v>
      </c>
    </row>
    <row r="32" spans="1:7" ht="15.5" x14ac:dyDescent="0.35">
      <c r="A32" s="139" t="s">
        <v>91</v>
      </c>
      <c r="B32" s="212">
        <v>73967</v>
      </c>
      <c r="C32" s="210">
        <v>45</v>
      </c>
    </row>
    <row r="33" spans="1:7" ht="15.5" x14ac:dyDescent="0.35">
      <c r="A33" s="139" t="s">
        <v>94</v>
      </c>
      <c r="B33" s="192">
        <v>260568</v>
      </c>
      <c r="C33" s="210">
        <v>180</v>
      </c>
    </row>
    <row r="34" spans="1:7" ht="15.5" x14ac:dyDescent="0.35">
      <c r="A34" s="139" t="s">
        <v>97</v>
      </c>
      <c r="B34" s="192">
        <v>49702</v>
      </c>
      <c r="C34" s="210">
        <v>30</v>
      </c>
    </row>
    <row r="35" spans="1:7" ht="15.5" x14ac:dyDescent="0.35">
      <c r="A35" s="139" t="s">
        <v>284</v>
      </c>
      <c r="B35" s="193">
        <v>0</v>
      </c>
      <c r="C35" s="268">
        <v>0</v>
      </c>
    </row>
    <row r="36" spans="1:7" ht="15.5" x14ac:dyDescent="0.35">
      <c r="A36" s="139" t="s">
        <v>103</v>
      </c>
      <c r="B36" s="192">
        <v>95655</v>
      </c>
      <c r="C36" s="210">
        <v>65</v>
      </c>
      <c r="G36" s="11"/>
    </row>
    <row r="37" spans="1:7" ht="15.5" x14ac:dyDescent="0.35">
      <c r="A37" s="139" t="s">
        <v>106</v>
      </c>
      <c r="B37" s="192">
        <v>99098</v>
      </c>
      <c r="C37" s="210">
        <v>70</v>
      </c>
    </row>
    <row r="38" spans="1:7" ht="15.5" x14ac:dyDescent="0.35">
      <c r="A38" s="139" t="s">
        <v>101</v>
      </c>
      <c r="B38" s="192">
        <v>10959821</v>
      </c>
      <c r="C38" s="210">
        <v>6120</v>
      </c>
    </row>
    <row r="39" spans="1:7" ht="15.5" x14ac:dyDescent="0.35">
      <c r="A39" s="139" t="s">
        <v>17</v>
      </c>
      <c r="B39" s="192">
        <v>248195</v>
      </c>
      <c r="C39" s="210">
        <v>150</v>
      </c>
    </row>
    <row r="40" spans="1:7" ht="15.5" x14ac:dyDescent="0.35">
      <c r="A40" s="139" t="s">
        <v>20</v>
      </c>
      <c r="B40" s="192">
        <v>156020</v>
      </c>
      <c r="C40" s="210">
        <v>90</v>
      </c>
    </row>
    <row r="41" spans="1:7" ht="15.5" x14ac:dyDescent="0.35">
      <c r="A41" s="139" t="s">
        <v>23</v>
      </c>
      <c r="B41" s="192">
        <v>161598</v>
      </c>
      <c r="C41" s="210">
        <v>85</v>
      </c>
    </row>
    <row r="42" spans="1:7" ht="15.5" x14ac:dyDescent="0.35">
      <c r="A42" s="139" t="s">
        <v>275</v>
      </c>
      <c r="B42" s="192">
        <v>87400</v>
      </c>
      <c r="C42" s="210">
        <v>50</v>
      </c>
    </row>
    <row r="43" spans="1:7" ht="15.5" x14ac:dyDescent="0.35">
      <c r="A43" s="139" t="s">
        <v>26</v>
      </c>
      <c r="B43" s="192">
        <v>133606</v>
      </c>
      <c r="C43" s="210">
        <v>75</v>
      </c>
    </row>
    <row r="44" spans="1:7" ht="15.5" x14ac:dyDescent="0.35">
      <c r="A44" s="139" t="s">
        <v>191</v>
      </c>
      <c r="B44" s="192">
        <v>246826</v>
      </c>
      <c r="C44" s="210">
        <v>140</v>
      </c>
    </row>
    <row r="45" spans="1:7" ht="15.5" x14ac:dyDescent="0.35">
      <c r="A45" s="139" t="s">
        <v>29</v>
      </c>
      <c r="B45" s="192">
        <v>538067</v>
      </c>
      <c r="C45" s="210">
        <v>270</v>
      </c>
    </row>
    <row r="46" spans="1:7" ht="15.5" x14ac:dyDescent="0.35">
      <c r="A46" s="139" t="s">
        <v>32</v>
      </c>
      <c r="B46" s="192">
        <v>313962</v>
      </c>
      <c r="C46" s="210">
        <v>185</v>
      </c>
    </row>
    <row r="47" spans="1:7" ht="15.5" x14ac:dyDescent="0.35">
      <c r="A47" s="139" t="s">
        <v>35</v>
      </c>
      <c r="B47" s="192">
        <v>130735</v>
      </c>
      <c r="C47" s="210">
        <v>70</v>
      </c>
    </row>
    <row r="48" spans="1:7" ht="15.5" x14ac:dyDescent="0.35">
      <c r="A48" s="139" t="s">
        <v>38</v>
      </c>
      <c r="B48" s="192">
        <v>127300</v>
      </c>
      <c r="C48" s="210">
        <v>70</v>
      </c>
    </row>
    <row r="49" spans="1:3" ht="15.5" x14ac:dyDescent="0.35">
      <c r="A49" s="139" t="s">
        <v>41</v>
      </c>
      <c r="B49" s="192">
        <v>101876</v>
      </c>
      <c r="C49" s="210">
        <v>55</v>
      </c>
    </row>
    <row r="50" spans="1:3" ht="15.5" x14ac:dyDescent="0.35">
      <c r="A50" s="139" t="s">
        <v>44</v>
      </c>
      <c r="B50" s="192">
        <v>598229</v>
      </c>
      <c r="C50" s="210">
        <v>325</v>
      </c>
    </row>
    <row r="51" spans="1:3" ht="15.5" x14ac:dyDescent="0.35">
      <c r="A51" s="139" t="s">
        <v>47</v>
      </c>
      <c r="B51" s="192">
        <v>281467</v>
      </c>
      <c r="C51" s="210">
        <v>160</v>
      </c>
    </row>
    <row r="52" spans="1:3" ht="15.5" x14ac:dyDescent="0.35">
      <c r="A52" s="139" t="s">
        <v>50</v>
      </c>
      <c r="B52" s="192">
        <v>517586</v>
      </c>
      <c r="C52" s="210">
        <v>305</v>
      </c>
    </row>
    <row r="53" spans="1:3" ht="15.5" x14ac:dyDescent="0.35">
      <c r="A53" s="139" t="s">
        <v>53</v>
      </c>
      <c r="B53" s="192">
        <v>2488283</v>
      </c>
      <c r="C53" s="210">
        <v>1420</v>
      </c>
    </row>
    <row r="54" spans="1:3" ht="15.5" x14ac:dyDescent="0.35">
      <c r="A54" s="139" t="s">
        <v>56</v>
      </c>
      <c r="B54" s="212">
        <v>325300</v>
      </c>
      <c r="C54" s="210">
        <v>165</v>
      </c>
    </row>
    <row r="55" spans="1:3" ht="15.5" x14ac:dyDescent="0.35">
      <c r="A55" s="139" t="s">
        <v>59</v>
      </c>
      <c r="B55" s="212">
        <v>234344</v>
      </c>
      <c r="C55" s="210">
        <v>140</v>
      </c>
    </row>
    <row r="56" spans="1:3" ht="15.5" x14ac:dyDescent="0.35">
      <c r="A56" s="139" t="s">
        <v>62</v>
      </c>
      <c r="B56" s="212">
        <v>132594</v>
      </c>
      <c r="C56" s="210">
        <v>75</v>
      </c>
    </row>
    <row r="57" spans="1:3" ht="15.5" x14ac:dyDescent="0.35">
      <c r="A57" s="139" t="s">
        <v>65</v>
      </c>
      <c r="B57" s="212">
        <v>110317</v>
      </c>
      <c r="C57" s="210">
        <v>60</v>
      </c>
    </row>
    <row r="58" spans="1:3" ht="15.5" x14ac:dyDescent="0.35">
      <c r="A58" s="139" t="s">
        <v>68</v>
      </c>
      <c r="B58" s="212">
        <v>22734</v>
      </c>
      <c r="C58" s="210">
        <v>15</v>
      </c>
    </row>
    <row r="59" spans="1:3" ht="15.5" x14ac:dyDescent="0.35">
      <c r="A59" s="139" t="s">
        <v>289</v>
      </c>
      <c r="B59" s="213" t="s">
        <v>194</v>
      </c>
      <c r="C59" s="224" t="s">
        <v>194</v>
      </c>
    </row>
    <row r="60" spans="1:3" ht="15.5" x14ac:dyDescent="0.35">
      <c r="A60" s="139" t="s">
        <v>117</v>
      </c>
      <c r="B60" s="213">
        <v>9470</v>
      </c>
      <c r="C60" s="210">
        <v>5</v>
      </c>
    </row>
    <row r="61" spans="1:3" ht="15.5" x14ac:dyDescent="0.35">
      <c r="A61" s="139" t="s">
        <v>74</v>
      </c>
      <c r="B61" s="212">
        <v>424353</v>
      </c>
      <c r="C61" s="210">
        <v>225</v>
      </c>
    </row>
    <row r="62" spans="1:3" ht="15.5" x14ac:dyDescent="0.35">
      <c r="A62" s="139" t="s">
        <v>77</v>
      </c>
      <c r="B62" s="212">
        <v>1157988</v>
      </c>
      <c r="C62" s="210">
        <v>610</v>
      </c>
    </row>
    <row r="63" spans="1:3" ht="15.5" x14ac:dyDescent="0.35">
      <c r="A63" s="139" t="s">
        <v>80</v>
      </c>
      <c r="B63" s="213" t="s">
        <v>194</v>
      </c>
      <c r="C63" s="224" t="s">
        <v>194</v>
      </c>
    </row>
    <row r="64" spans="1:3" ht="15.5" x14ac:dyDescent="0.35">
      <c r="A64" s="139" t="s">
        <v>279</v>
      </c>
      <c r="B64" s="212">
        <v>184178</v>
      </c>
      <c r="C64" s="210">
        <v>95</v>
      </c>
    </row>
    <row r="65" spans="1:3" ht="15.5" x14ac:dyDescent="0.35">
      <c r="A65" s="139" t="s">
        <v>83</v>
      </c>
      <c r="B65" s="212">
        <v>359400</v>
      </c>
      <c r="C65" s="210">
        <v>215</v>
      </c>
    </row>
    <row r="66" spans="1:3" ht="15.5" x14ac:dyDescent="0.35">
      <c r="A66" s="139" t="s">
        <v>86</v>
      </c>
      <c r="B66" s="212">
        <v>126282</v>
      </c>
      <c r="C66" s="210">
        <v>65</v>
      </c>
    </row>
    <row r="67" spans="1:3" ht="15.5" x14ac:dyDescent="0.35">
      <c r="A67" s="139" t="s">
        <v>89</v>
      </c>
      <c r="B67" s="212">
        <v>17618</v>
      </c>
      <c r="C67" s="210">
        <v>10</v>
      </c>
    </row>
    <row r="68" spans="1:3" ht="15.5" x14ac:dyDescent="0.35">
      <c r="A68" s="139" t="s">
        <v>92</v>
      </c>
      <c r="B68" s="212">
        <v>212025</v>
      </c>
      <c r="C68" s="210">
        <v>115</v>
      </c>
    </row>
    <row r="69" spans="1:3" ht="15.5" x14ac:dyDescent="0.35">
      <c r="A69" s="139" t="s">
        <v>95</v>
      </c>
      <c r="B69" s="212">
        <v>795653</v>
      </c>
      <c r="C69" s="210">
        <v>460</v>
      </c>
    </row>
    <row r="70" spans="1:3" ht="15.5" x14ac:dyDescent="0.35">
      <c r="A70" s="139" t="s">
        <v>98</v>
      </c>
      <c r="B70" s="212">
        <v>126980</v>
      </c>
      <c r="C70" s="210">
        <v>70</v>
      </c>
    </row>
    <row r="71" spans="1:3" ht="15.5" x14ac:dyDescent="0.35">
      <c r="A71" s="139" t="s">
        <v>285</v>
      </c>
      <c r="B71" s="213">
        <v>8528</v>
      </c>
      <c r="C71" s="224">
        <v>5</v>
      </c>
    </row>
    <row r="72" spans="1:3" ht="15.5" x14ac:dyDescent="0.35">
      <c r="A72" s="139" t="s">
        <v>104</v>
      </c>
      <c r="B72" s="212">
        <v>253372</v>
      </c>
      <c r="C72" s="210">
        <v>145</v>
      </c>
    </row>
    <row r="73" spans="1:3" ht="15.5" x14ac:dyDescent="0.35">
      <c r="A73" s="139" t="s">
        <v>107</v>
      </c>
      <c r="B73" s="212">
        <v>322615</v>
      </c>
      <c r="C73" s="210">
        <v>190</v>
      </c>
    </row>
    <row r="74" spans="1:3" ht="15.5" x14ac:dyDescent="0.35">
      <c r="A74" s="139" t="s">
        <v>102</v>
      </c>
      <c r="B74" s="192">
        <v>7971304</v>
      </c>
      <c r="C74" s="210">
        <v>4415</v>
      </c>
    </row>
    <row r="75" spans="1:3" ht="15.5" x14ac:dyDescent="0.35">
      <c r="A75" s="139" t="s">
        <v>18</v>
      </c>
      <c r="B75" s="192">
        <v>170094</v>
      </c>
      <c r="C75" s="210">
        <v>105</v>
      </c>
    </row>
    <row r="76" spans="1:3" ht="15.5" x14ac:dyDescent="0.35">
      <c r="A76" s="139" t="s">
        <v>21</v>
      </c>
      <c r="B76" s="192">
        <v>155915</v>
      </c>
      <c r="C76" s="210">
        <v>85</v>
      </c>
    </row>
    <row r="77" spans="1:3" ht="15.5" x14ac:dyDescent="0.35">
      <c r="A77" s="139" t="s">
        <v>24</v>
      </c>
      <c r="B77" s="192">
        <v>110562</v>
      </c>
      <c r="C77" s="210">
        <v>55</v>
      </c>
    </row>
    <row r="78" spans="1:3" ht="15.5" x14ac:dyDescent="0.35">
      <c r="A78" s="139" t="s">
        <v>276</v>
      </c>
      <c r="B78" s="192">
        <v>96202</v>
      </c>
      <c r="C78" s="210">
        <v>50</v>
      </c>
    </row>
    <row r="79" spans="1:3" ht="15.5" x14ac:dyDescent="0.35">
      <c r="A79" s="139" t="s">
        <v>27</v>
      </c>
      <c r="B79" s="192">
        <v>103216</v>
      </c>
      <c r="C79" s="210">
        <v>55</v>
      </c>
    </row>
    <row r="80" spans="1:3" ht="15.5" x14ac:dyDescent="0.35">
      <c r="A80" s="139" t="s">
        <v>192</v>
      </c>
      <c r="B80" s="192">
        <v>178753</v>
      </c>
      <c r="C80" s="210">
        <v>95</v>
      </c>
    </row>
    <row r="81" spans="1:3" ht="15.5" x14ac:dyDescent="0.35">
      <c r="A81" s="139" t="s">
        <v>30</v>
      </c>
      <c r="B81" s="192">
        <v>331124</v>
      </c>
      <c r="C81" s="210">
        <v>170</v>
      </c>
    </row>
    <row r="82" spans="1:3" ht="15.5" x14ac:dyDescent="0.35">
      <c r="A82" s="139" t="s">
        <v>33</v>
      </c>
      <c r="B82" s="192">
        <v>207239</v>
      </c>
      <c r="C82" s="210">
        <v>120</v>
      </c>
    </row>
    <row r="83" spans="1:3" ht="15.5" x14ac:dyDescent="0.35">
      <c r="A83" s="139" t="s">
        <v>36</v>
      </c>
      <c r="B83" s="192">
        <v>70330</v>
      </c>
      <c r="C83" s="210">
        <v>40</v>
      </c>
    </row>
    <row r="84" spans="1:3" ht="15.5" x14ac:dyDescent="0.35">
      <c r="A84" s="139" t="s">
        <v>39</v>
      </c>
      <c r="B84" s="192">
        <v>103797</v>
      </c>
      <c r="C84" s="210">
        <v>55</v>
      </c>
    </row>
    <row r="85" spans="1:3" ht="15.5" x14ac:dyDescent="0.35">
      <c r="A85" s="139" t="s">
        <v>42</v>
      </c>
      <c r="B85" s="192">
        <v>85711</v>
      </c>
      <c r="C85" s="210">
        <v>50</v>
      </c>
    </row>
    <row r="86" spans="1:3" ht="15.5" x14ac:dyDescent="0.35">
      <c r="A86" s="139" t="s">
        <v>45</v>
      </c>
      <c r="B86" s="192">
        <v>456793</v>
      </c>
      <c r="C86" s="210">
        <v>245</v>
      </c>
    </row>
    <row r="87" spans="1:3" ht="15.5" x14ac:dyDescent="0.35">
      <c r="A87" s="139" t="s">
        <v>48</v>
      </c>
      <c r="B87" s="192">
        <v>194528</v>
      </c>
      <c r="C87" s="210">
        <v>115</v>
      </c>
    </row>
    <row r="88" spans="1:3" ht="15.5" x14ac:dyDescent="0.35">
      <c r="A88" s="139" t="s">
        <v>51</v>
      </c>
      <c r="B88" s="192">
        <v>401035</v>
      </c>
      <c r="C88" s="210">
        <v>230</v>
      </c>
    </row>
    <row r="89" spans="1:3" ht="15.5" x14ac:dyDescent="0.35">
      <c r="A89" s="139" t="s">
        <v>54</v>
      </c>
      <c r="B89" s="192">
        <v>1796312</v>
      </c>
      <c r="C89" s="210">
        <v>1015</v>
      </c>
    </row>
    <row r="90" spans="1:3" ht="15.5" x14ac:dyDescent="0.35">
      <c r="A90" s="139" t="s">
        <v>57</v>
      </c>
      <c r="B90" s="192">
        <v>241188</v>
      </c>
      <c r="C90" s="210">
        <v>125</v>
      </c>
    </row>
    <row r="91" spans="1:3" ht="15.5" x14ac:dyDescent="0.35">
      <c r="A91" s="139" t="s">
        <v>60</v>
      </c>
      <c r="B91" s="192">
        <v>149118</v>
      </c>
      <c r="C91" s="210">
        <v>95</v>
      </c>
    </row>
    <row r="92" spans="1:3" ht="15.5" x14ac:dyDescent="0.35">
      <c r="A92" s="139" t="s">
        <v>63</v>
      </c>
      <c r="B92" s="192">
        <v>95115</v>
      </c>
      <c r="C92" s="210">
        <v>50</v>
      </c>
    </row>
    <row r="93" spans="1:3" ht="15.5" x14ac:dyDescent="0.35">
      <c r="A93" s="139" t="s">
        <v>66</v>
      </c>
      <c r="B93" s="192">
        <v>78203</v>
      </c>
      <c r="C93" s="210">
        <v>40</v>
      </c>
    </row>
    <row r="94" spans="1:3" ht="15.5" x14ac:dyDescent="0.35">
      <c r="A94" s="139" t="s">
        <v>69</v>
      </c>
      <c r="B94" s="213">
        <v>11118</v>
      </c>
      <c r="C94" s="224">
        <v>5</v>
      </c>
    </row>
    <row r="95" spans="1:3" ht="15.5" x14ac:dyDescent="0.35">
      <c r="A95" s="139" t="s">
        <v>75</v>
      </c>
      <c r="B95" s="192">
        <v>332379</v>
      </c>
      <c r="C95" s="210">
        <v>175</v>
      </c>
    </row>
    <row r="96" spans="1:3" ht="15.5" x14ac:dyDescent="0.35">
      <c r="A96" s="139" t="s">
        <v>78</v>
      </c>
      <c r="B96" s="192">
        <v>801330</v>
      </c>
      <c r="C96" s="210">
        <v>425</v>
      </c>
    </row>
    <row r="97" spans="1:3" ht="15.5" x14ac:dyDescent="0.35">
      <c r="A97" s="139" t="s">
        <v>81</v>
      </c>
      <c r="B97" s="192">
        <v>15093</v>
      </c>
      <c r="C97" s="210">
        <v>10</v>
      </c>
    </row>
    <row r="98" spans="1:3" ht="15.5" x14ac:dyDescent="0.35">
      <c r="A98" s="139" t="s">
        <v>280</v>
      </c>
      <c r="B98" s="192">
        <v>104587</v>
      </c>
      <c r="C98" s="210">
        <v>60</v>
      </c>
    </row>
    <row r="99" spans="1:3" ht="15.5" x14ac:dyDescent="0.35">
      <c r="A99" s="139" t="s">
        <v>84</v>
      </c>
      <c r="B99" s="212">
        <v>265408</v>
      </c>
      <c r="C99" s="210">
        <v>155</v>
      </c>
    </row>
    <row r="100" spans="1:3" ht="15.5" x14ac:dyDescent="0.35">
      <c r="A100" s="139" t="s">
        <v>87</v>
      </c>
      <c r="B100" s="212">
        <v>103518</v>
      </c>
      <c r="C100" s="210">
        <v>60</v>
      </c>
    </row>
    <row r="101" spans="1:3" ht="15.5" x14ac:dyDescent="0.35">
      <c r="A101" s="139" t="s">
        <v>90</v>
      </c>
      <c r="B101" s="213">
        <v>5148</v>
      </c>
      <c r="C101" s="224">
        <v>5</v>
      </c>
    </row>
    <row r="102" spans="1:3" ht="15.5" x14ac:dyDescent="0.35">
      <c r="A102" s="139" t="s">
        <v>93</v>
      </c>
      <c r="B102" s="212">
        <v>150930</v>
      </c>
      <c r="C102" s="210">
        <v>85</v>
      </c>
    </row>
    <row r="103" spans="1:3" ht="15.5" x14ac:dyDescent="0.35">
      <c r="A103" s="139" t="s">
        <v>96</v>
      </c>
      <c r="B103" s="212">
        <v>586559</v>
      </c>
      <c r="C103" s="210">
        <v>325</v>
      </c>
    </row>
    <row r="104" spans="1:3" ht="15.5" x14ac:dyDescent="0.35">
      <c r="A104" s="139" t="s">
        <v>99</v>
      </c>
      <c r="B104" s="212">
        <v>122740</v>
      </c>
      <c r="C104" s="210">
        <v>60</v>
      </c>
    </row>
    <row r="105" spans="1:3" ht="15.5" x14ac:dyDescent="0.35">
      <c r="A105" s="139" t="s">
        <v>288</v>
      </c>
      <c r="B105" s="213" t="s">
        <v>194</v>
      </c>
      <c r="C105" s="224" t="s">
        <v>194</v>
      </c>
    </row>
    <row r="106" spans="1:3" ht="15.5" x14ac:dyDescent="0.35">
      <c r="A106" s="139" t="s">
        <v>105</v>
      </c>
      <c r="B106" s="212">
        <v>216501</v>
      </c>
      <c r="C106" s="210">
        <v>120</v>
      </c>
    </row>
    <row r="107" spans="1:3" ht="15.5" x14ac:dyDescent="0.35">
      <c r="A107" s="139" t="s">
        <v>108</v>
      </c>
      <c r="B107" s="212">
        <v>224723</v>
      </c>
      <c r="C107" s="210">
        <v>130</v>
      </c>
    </row>
    <row r="108" spans="1:3" ht="15.5" x14ac:dyDescent="0.35">
      <c r="A108" s="139" t="s">
        <v>291</v>
      </c>
      <c r="B108" s="213">
        <v>0</v>
      </c>
      <c r="C108" s="268">
        <v>0</v>
      </c>
    </row>
    <row r="109" spans="1:3" ht="15.5" x14ac:dyDescent="0.35">
      <c r="A109" s="139" t="s">
        <v>118</v>
      </c>
      <c r="B109" s="213" t="s">
        <v>194</v>
      </c>
      <c r="C109" s="224" t="s">
        <v>194</v>
      </c>
    </row>
    <row r="110" spans="1:3" ht="15.5" x14ac:dyDescent="0.35">
      <c r="A110" s="211" t="s">
        <v>148</v>
      </c>
      <c r="B110" s="212">
        <v>22407939.640000001</v>
      </c>
      <c r="C110" s="210">
        <v>12845</v>
      </c>
    </row>
    <row r="111" spans="1:3" ht="15.5" x14ac:dyDescent="0.35">
      <c r="A111" s="211" t="s">
        <v>120</v>
      </c>
      <c r="B111" s="212">
        <v>484772.39</v>
      </c>
      <c r="C111" s="210">
        <v>300</v>
      </c>
    </row>
    <row r="112" spans="1:3" ht="15.5" x14ac:dyDescent="0.35">
      <c r="A112" s="211" t="s">
        <v>121</v>
      </c>
      <c r="B112" s="212">
        <v>375694.22</v>
      </c>
      <c r="C112" s="210">
        <v>220</v>
      </c>
    </row>
    <row r="113" spans="1:3" ht="15.5" x14ac:dyDescent="0.35">
      <c r="A113" s="211" t="s">
        <v>122</v>
      </c>
      <c r="B113" s="212">
        <v>318289.87</v>
      </c>
      <c r="C113" s="210">
        <v>175</v>
      </c>
    </row>
    <row r="114" spans="1:3" ht="15.5" x14ac:dyDescent="0.35">
      <c r="A114" s="211" t="s">
        <v>277</v>
      </c>
      <c r="B114" s="212">
        <v>243184.58</v>
      </c>
      <c r="C114" s="210">
        <v>140</v>
      </c>
    </row>
    <row r="115" spans="1:3" ht="15.5" x14ac:dyDescent="0.35">
      <c r="A115" s="211" t="s">
        <v>123</v>
      </c>
      <c r="B115" s="212">
        <v>280534.90000000002</v>
      </c>
      <c r="C115" s="210">
        <v>165</v>
      </c>
    </row>
    <row r="116" spans="1:3" ht="15.5" x14ac:dyDescent="0.35">
      <c r="A116" s="211" t="s">
        <v>193</v>
      </c>
      <c r="B116" s="212">
        <v>515236.93</v>
      </c>
      <c r="C116" s="210">
        <v>290</v>
      </c>
    </row>
    <row r="117" spans="1:3" ht="15.5" x14ac:dyDescent="0.35">
      <c r="A117" s="211" t="s">
        <v>124</v>
      </c>
      <c r="B117" s="212">
        <v>1074523.17</v>
      </c>
      <c r="C117" s="210">
        <v>560</v>
      </c>
    </row>
    <row r="118" spans="1:3" ht="15.5" x14ac:dyDescent="0.35">
      <c r="A118" s="211" t="s">
        <v>125</v>
      </c>
      <c r="B118" s="212">
        <v>634087.22</v>
      </c>
      <c r="C118" s="210">
        <v>375</v>
      </c>
    </row>
    <row r="119" spans="1:3" ht="15.5" x14ac:dyDescent="0.35">
      <c r="A119" s="211" t="s">
        <v>126</v>
      </c>
      <c r="B119" s="212">
        <v>236104.51</v>
      </c>
      <c r="C119" s="210">
        <v>130</v>
      </c>
    </row>
    <row r="120" spans="1:3" ht="15.5" x14ac:dyDescent="0.35">
      <c r="A120" s="211" t="s">
        <v>127</v>
      </c>
      <c r="B120" s="212">
        <v>262391.90000000002</v>
      </c>
      <c r="C120" s="210">
        <v>145</v>
      </c>
    </row>
    <row r="121" spans="1:3" ht="15.5" x14ac:dyDescent="0.35">
      <c r="A121" s="211" t="s">
        <v>128</v>
      </c>
      <c r="B121" s="212">
        <v>233913.79</v>
      </c>
      <c r="C121" s="210">
        <v>135</v>
      </c>
    </row>
    <row r="122" spans="1:3" ht="15.5" x14ac:dyDescent="0.35">
      <c r="A122" s="211" t="s">
        <v>129</v>
      </c>
      <c r="B122" s="212">
        <v>1199970.48</v>
      </c>
      <c r="C122" s="210">
        <v>670</v>
      </c>
    </row>
    <row r="123" spans="1:3" ht="15.5" x14ac:dyDescent="0.35">
      <c r="A123" s="211" t="s">
        <v>130</v>
      </c>
      <c r="B123" s="212">
        <v>555266.63</v>
      </c>
      <c r="C123" s="210">
        <v>335</v>
      </c>
    </row>
    <row r="124" spans="1:3" ht="15.5" x14ac:dyDescent="0.35">
      <c r="A124" s="211" t="s">
        <v>131</v>
      </c>
      <c r="B124" s="212">
        <v>1065827.02</v>
      </c>
      <c r="C124" s="210">
        <v>645</v>
      </c>
    </row>
    <row r="125" spans="1:3" ht="15.5" x14ac:dyDescent="0.35">
      <c r="A125" s="211" t="s">
        <v>132</v>
      </c>
      <c r="B125" s="212">
        <v>5090269.7699999996</v>
      </c>
      <c r="C125" s="210">
        <v>2980</v>
      </c>
    </row>
    <row r="126" spans="1:3" ht="15.5" x14ac:dyDescent="0.35">
      <c r="A126" s="211" t="s">
        <v>133</v>
      </c>
      <c r="B126" s="212">
        <v>667729.23</v>
      </c>
      <c r="C126" s="210">
        <v>355</v>
      </c>
    </row>
    <row r="127" spans="1:3" ht="15.5" x14ac:dyDescent="0.35">
      <c r="A127" s="211" t="s">
        <v>134</v>
      </c>
      <c r="B127" s="212">
        <v>449845.21</v>
      </c>
      <c r="C127" s="210">
        <v>285</v>
      </c>
    </row>
    <row r="128" spans="1:3" ht="15.5" x14ac:dyDescent="0.35">
      <c r="A128" s="211" t="s">
        <v>135</v>
      </c>
      <c r="B128" s="212">
        <v>265798.96999999997</v>
      </c>
      <c r="C128" s="210">
        <v>150</v>
      </c>
    </row>
    <row r="129" spans="1:4" ht="15.5" x14ac:dyDescent="0.35">
      <c r="A129" s="211" t="s">
        <v>136</v>
      </c>
      <c r="B129" s="212">
        <v>214399.63</v>
      </c>
      <c r="C129" s="210">
        <v>120</v>
      </c>
    </row>
    <row r="130" spans="1:4" ht="15.5" x14ac:dyDescent="0.35">
      <c r="A130" s="211" t="s">
        <v>137</v>
      </c>
      <c r="B130" s="212">
        <v>40712.51</v>
      </c>
      <c r="C130" s="210">
        <v>25</v>
      </c>
    </row>
    <row r="131" spans="1:4" ht="15.5" x14ac:dyDescent="0.35">
      <c r="A131" s="211" t="s">
        <v>139</v>
      </c>
      <c r="B131" s="212">
        <v>906354.13</v>
      </c>
      <c r="C131" s="210">
        <v>495</v>
      </c>
    </row>
    <row r="132" spans="1:4" ht="15.5" x14ac:dyDescent="0.35">
      <c r="A132" s="211" t="s">
        <v>140</v>
      </c>
      <c r="B132" s="212">
        <v>2304587.67</v>
      </c>
      <c r="C132" s="210">
        <v>1250</v>
      </c>
    </row>
    <row r="133" spans="1:4" ht="15.5" x14ac:dyDescent="0.35">
      <c r="A133" s="211" t="s">
        <v>141</v>
      </c>
      <c r="B133" s="212">
        <v>21208.91</v>
      </c>
      <c r="C133" s="210">
        <v>15</v>
      </c>
    </row>
    <row r="134" spans="1:4" ht="15.5" x14ac:dyDescent="0.35">
      <c r="A134" s="211" t="s">
        <v>281</v>
      </c>
      <c r="B134" s="212">
        <v>332593.71000000002</v>
      </c>
      <c r="C134" s="210">
        <v>180</v>
      </c>
    </row>
    <row r="135" spans="1:4" ht="15.5" x14ac:dyDescent="0.35">
      <c r="A135" s="211" t="s">
        <v>142</v>
      </c>
      <c r="B135" s="212">
        <v>716364.09</v>
      </c>
      <c r="C135" s="210">
        <v>435</v>
      </c>
    </row>
    <row r="136" spans="1:4" ht="15.5" x14ac:dyDescent="0.35">
      <c r="A136" s="211" t="s">
        <v>143</v>
      </c>
      <c r="B136" s="212">
        <v>267929.2</v>
      </c>
      <c r="C136" s="210">
        <v>155</v>
      </c>
      <c r="D136" s="7"/>
    </row>
    <row r="137" spans="1:4" ht="15.5" x14ac:dyDescent="0.35">
      <c r="A137" s="211" t="s">
        <v>144</v>
      </c>
      <c r="B137" s="212">
        <v>32187.59</v>
      </c>
      <c r="C137" s="210">
        <v>20</v>
      </c>
      <c r="D137" s="7"/>
    </row>
    <row r="138" spans="1:4" ht="15.5" x14ac:dyDescent="0.35">
      <c r="A138" s="211" t="s">
        <v>145</v>
      </c>
      <c r="B138" s="212">
        <v>436922.43</v>
      </c>
      <c r="C138" s="210">
        <v>250</v>
      </c>
      <c r="D138" s="7"/>
    </row>
    <row r="139" spans="1:4" ht="15.5" x14ac:dyDescent="0.35">
      <c r="A139" s="211" t="s">
        <v>146</v>
      </c>
      <c r="B139" s="212">
        <v>1642779.85</v>
      </c>
      <c r="C139" s="210">
        <v>965</v>
      </c>
      <c r="D139" s="7"/>
    </row>
    <row r="140" spans="1:4" ht="15.5" x14ac:dyDescent="0.35">
      <c r="A140" s="211" t="s">
        <v>147</v>
      </c>
      <c r="B140" s="212">
        <v>299422.5</v>
      </c>
      <c r="C140" s="210">
        <v>160</v>
      </c>
      <c r="D140" s="7"/>
    </row>
    <row r="141" spans="1:4" ht="15.5" x14ac:dyDescent="0.35">
      <c r="A141" s="211" t="s">
        <v>149</v>
      </c>
      <c r="B141" s="212">
        <v>565528.38</v>
      </c>
      <c r="C141" s="210">
        <v>330</v>
      </c>
      <c r="D141" s="7"/>
    </row>
    <row r="142" spans="1:4" ht="15.5" x14ac:dyDescent="0.35">
      <c r="A142" s="211" t="s">
        <v>150</v>
      </c>
      <c r="B142" s="212">
        <v>646436.80000000005</v>
      </c>
      <c r="C142" s="210">
        <v>390</v>
      </c>
      <c r="D142" s="7"/>
    </row>
    <row r="143" spans="1:4" ht="15.5" x14ac:dyDescent="0.35">
      <c r="A143" s="211" t="s">
        <v>287</v>
      </c>
      <c r="B143" s="213" t="s">
        <v>194</v>
      </c>
      <c r="C143" s="224" t="s">
        <v>194</v>
      </c>
      <c r="D143" s="7"/>
    </row>
    <row r="144" spans="1:4" ht="15.5" x14ac:dyDescent="0.35">
      <c r="A144" s="211" t="s">
        <v>286</v>
      </c>
      <c r="B144" s="212">
        <v>12312.2</v>
      </c>
      <c r="C144" s="210">
        <v>5</v>
      </c>
      <c r="D144" s="7"/>
    </row>
    <row r="145" spans="1:4" ht="15.5" x14ac:dyDescent="0.35">
      <c r="A145" s="211" t="s">
        <v>151</v>
      </c>
      <c r="B145" s="212">
        <v>13128.25</v>
      </c>
      <c r="C145" s="210">
        <v>10</v>
      </c>
      <c r="D145" s="7"/>
    </row>
    <row r="146" spans="1:4" x14ac:dyDescent="0.35">
      <c r="B146" s="7"/>
      <c r="C146" s="7"/>
      <c r="D146" s="7"/>
    </row>
    <row r="147" spans="1:4" x14ac:dyDescent="0.35">
      <c r="B147" s="7"/>
      <c r="C147" s="7"/>
      <c r="D147" s="7"/>
    </row>
    <row r="148" spans="1:4" x14ac:dyDescent="0.35">
      <c r="B148" s="7"/>
      <c r="C148" s="7"/>
      <c r="D148" s="7"/>
    </row>
    <row r="149" spans="1:4" x14ac:dyDescent="0.35">
      <c r="B149" s="7"/>
      <c r="C149" s="7"/>
      <c r="D149" s="7"/>
    </row>
    <row r="150" spans="1:4" x14ac:dyDescent="0.35">
      <c r="B150" s="7"/>
      <c r="C150" s="7"/>
      <c r="D150" s="7"/>
    </row>
    <row r="151" spans="1:4" x14ac:dyDescent="0.35">
      <c r="B151" s="7"/>
      <c r="C151" s="7"/>
      <c r="D151" s="7"/>
    </row>
    <row r="152" spans="1:4" x14ac:dyDescent="0.35">
      <c r="B152" s="7"/>
      <c r="C152" s="7"/>
      <c r="D152" s="7"/>
    </row>
    <row r="153" spans="1:4" x14ac:dyDescent="0.35">
      <c r="B153" s="7"/>
      <c r="C153" s="7"/>
      <c r="D153" s="7"/>
    </row>
    <row r="154" spans="1:4" x14ac:dyDescent="0.35">
      <c r="B154" s="7"/>
      <c r="C154" s="7"/>
      <c r="D154" s="7"/>
    </row>
    <row r="155" spans="1:4" x14ac:dyDescent="0.35">
      <c r="B155" s="7"/>
      <c r="C155" s="7"/>
      <c r="D155" s="7"/>
    </row>
  </sheetData>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47"/>
  <sheetViews>
    <sheetView zoomScaleNormal="100" workbookViewId="0"/>
  </sheetViews>
  <sheetFormatPr defaultColWidth="8.7265625" defaultRowHeight="16" customHeight="1" x14ac:dyDescent="0.35"/>
  <cols>
    <col min="1" max="1" width="33.453125" style="85" customWidth="1"/>
    <col min="2" max="10" width="13" style="85" customWidth="1"/>
    <col min="11" max="11" width="13.453125" style="85" customWidth="1"/>
    <col min="12" max="12" width="14.1796875" style="85" customWidth="1"/>
    <col min="13" max="13" width="11.26953125" style="85" customWidth="1"/>
    <col min="14" max="16384" width="8.7265625" style="85"/>
  </cols>
  <sheetData>
    <row r="1" spans="1:35" ht="23.15" customHeight="1" x14ac:dyDescent="0.5">
      <c r="A1" s="87" t="s">
        <v>224</v>
      </c>
      <c r="B1" s="87"/>
      <c r="C1" s="87"/>
      <c r="D1" s="87"/>
      <c r="E1" s="87"/>
      <c r="F1" s="87"/>
      <c r="G1" s="87"/>
      <c r="H1" s="86"/>
      <c r="I1" s="86"/>
      <c r="J1" s="86"/>
      <c r="K1" s="86"/>
    </row>
    <row r="2" spans="1:35" ht="16" customHeight="1" x14ac:dyDescent="0.5">
      <c r="A2" s="88" t="s">
        <v>174</v>
      </c>
      <c r="B2" s="87"/>
      <c r="C2" s="87"/>
      <c r="D2" s="87"/>
      <c r="E2" s="87"/>
      <c r="F2" s="87"/>
      <c r="G2" s="87"/>
      <c r="H2" s="86"/>
      <c r="I2" s="86"/>
      <c r="J2" s="86"/>
      <c r="K2" s="86"/>
    </row>
    <row r="3" spans="1:35" ht="16" customHeight="1" x14ac:dyDescent="0.5">
      <c r="A3" s="88" t="s">
        <v>345</v>
      </c>
      <c r="B3" s="87"/>
      <c r="C3" s="87"/>
      <c r="D3" s="87"/>
      <c r="E3" s="87"/>
      <c r="F3" s="87"/>
      <c r="G3" s="87"/>
      <c r="H3" s="86"/>
      <c r="I3" s="86"/>
      <c r="J3" s="86"/>
      <c r="K3" s="86"/>
    </row>
    <row r="4" spans="1:35" ht="16" customHeight="1" x14ac:dyDescent="0.5">
      <c r="A4" s="88" t="s">
        <v>346</v>
      </c>
      <c r="B4" s="87"/>
      <c r="C4" s="87"/>
      <c r="D4" s="87"/>
      <c r="E4" s="87"/>
      <c r="F4" s="87"/>
      <c r="G4" s="87"/>
      <c r="H4" s="86"/>
      <c r="I4" s="86"/>
      <c r="J4" s="86"/>
      <c r="K4" s="86"/>
    </row>
    <row r="5" spans="1:35" ht="16" customHeight="1" x14ac:dyDescent="0.5">
      <c r="A5" s="89" t="s">
        <v>370</v>
      </c>
      <c r="B5" s="90"/>
      <c r="C5" s="90"/>
      <c r="D5" s="90"/>
      <c r="E5" s="90"/>
      <c r="F5" s="90"/>
      <c r="G5" s="90"/>
      <c r="H5" s="86"/>
      <c r="I5" s="86"/>
      <c r="J5" s="86"/>
      <c r="K5" s="86"/>
      <c r="W5" s="91"/>
      <c r="X5" s="91"/>
      <c r="Y5" s="91"/>
      <c r="Z5" s="91"/>
      <c r="AA5" s="91"/>
      <c r="AB5" s="91"/>
      <c r="AC5" s="91"/>
      <c r="AD5" s="91"/>
      <c r="AE5" s="91"/>
      <c r="AF5" s="91"/>
      <c r="AG5" s="91"/>
      <c r="AH5" s="91"/>
      <c r="AI5" s="91"/>
    </row>
    <row r="6" spans="1:35" ht="72" customHeight="1" x14ac:dyDescent="0.35">
      <c r="A6" s="92" t="s">
        <v>203</v>
      </c>
      <c r="B6" s="93" t="s">
        <v>12</v>
      </c>
      <c r="C6" s="93" t="s">
        <v>184</v>
      </c>
      <c r="D6" s="93" t="s">
        <v>221</v>
      </c>
      <c r="E6" s="93" t="s">
        <v>222</v>
      </c>
      <c r="F6" s="93" t="s">
        <v>195</v>
      </c>
      <c r="G6" s="93" t="s">
        <v>196</v>
      </c>
      <c r="H6" s="93" t="s">
        <v>185</v>
      </c>
      <c r="I6" s="93" t="s">
        <v>186</v>
      </c>
      <c r="J6" s="93" t="s">
        <v>187</v>
      </c>
      <c r="K6" s="94"/>
      <c r="L6" s="95"/>
      <c r="M6" s="94"/>
      <c r="N6" s="94"/>
      <c r="O6" s="94"/>
      <c r="P6" s="94"/>
      <c r="Q6" s="94"/>
      <c r="Y6" s="96"/>
      <c r="Z6" s="96"/>
      <c r="AA6" s="96"/>
      <c r="AB6" s="96"/>
      <c r="AC6" s="96"/>
      <c r="AD6" s="96"/>
      <c r="AE6" s="97"/>
      <c r="AF6" s="97"/>
      <c r="AG6" s="97"/>
      <c r="AH6" s="91"/>
      <c r="AI6" s="91"/>
    </row>
    <row r="7" spans="1:35" ht="16" customHeight="1" x14ac:dyDescent="0.35">
      <c r="A7" s="98" t="s">
        <v>5</v>
      </c>
      <c r="B7" s="99">
        <v>19075</v>
      </c>
      <c r="C7" s="100">
        <v>1</v>
      </c>
      <c r="D7" s="99">
        <v>18200</v>
      </c>
      <c r="E7" s="99">
        <v>14030</v>
      </c>
      <c r="F7" s="99">
        <v>2335</v>
      </c>
      <c r="G7" s="99">
        <v>1835</v>
      </c>
      <c r="H7" s="100">
        <v>0.77</v>
      </c>
      <c r="I7" s="100">
        <v>0.13</v>
      </c>
      <c r="J7" s="100">
        <v>0.1</v>
      </c>
      <c r="K7" s="94"/>
      <c r="L7" s="95"/>
      <c r="M7" s="94"/>
      <c r="N7" s="94"/>
      <c r="O7" s="94"/>
      <c r="P7" s="94"/>
      <c r="Q7" s="94"/>
      <c r="Y7" s="96"/>
      <c r="Z7" s="96"/>
      <c r="AA7" s="96"/>
      <c r="AB7" s="96"/>
      <c r="AC7" s="96"/>
      <c r="AD7" s="96"/>
      <c r="AE7" s="97"/>
      <c r="AF7" s="97"/>
      <c r="AG7" s="97"/>
      <c r="AH7" s="91"/>
      <c r="AI7" s="91"/>
    </row>
    <row r="8" spans="1:35" ht="16" customHeight="1" x14ac:dyDescent="0.35">
      <c r="A8" s="101" t="s">
        <v>155</v>
      </c>
      <c r="B8" s="102">
        <v>290</v>
      </c>
      <c r="C8" s="103">
        <v>0.02</v>
      </c>
      <c r="D8" s="102">
        <v>135</v>
      </c>
      <c r="E8" s="102">
        <v>100</v>
      </c>
      <c r="F8" s="102">
        <v>20</v>
      </c>
      <c r="G8" s="102">
        <v>15</v>
      </c>
      <c r="H8" s="103">
        <v>0.73</v>
      </c>
      <c r="I8" s="103">
        <v>0.15</v>
      </c>
      <c r="J8" s="103">
        <v>0.13</v>
      </c>
      <c r="K8" s="94"/>
      <c r="L8" s="208"/>
      <c r="M8" s="264"/>
      <c r="N8" s="208"/>
      <c r="O8" s="208"/>
      <c r="P8" s="208"/>
      <c r="Q8" s="208"/>
      <c r="R8" s="264"/>
      <c r="S8" s="264"/>
      <c r="T8" s="264"/>
      <c r="AE8" s="104"/>
      <c r="AF8" s="104"/>
      <c r="AG8" s="104"/>
      <c r="AH8" s="91"/>
      <c r="AI8" s="91"/>
    </row>
    <row r="9" spans="1:35" ht="16" customHeight="1" x14ac:dyDescent="0.35">
      <c r="A9" s="101" t="s">
        <v>156</v>
      </c>
      <c r="B9" s="102">
        <v>655</v>
      </c>
      <c r="C9" s="103">
        <v>0.03</v>
      </c>
      <c r="D9" s="102">
        <v>475</v>
      </c>
      <c r="E9" s="102">
        <v>400</v>
      </c>
      <c r="F9" s="102">
        <v>35</v>
      </c>
      <c r="G9" s="102">
        <v>40</v>
      </c>
      <c r="H9" s="103">
        <v>0.84</v>
      </c>
      <c r="I9" s="103">
        <v>0.08</v>
      </c>
      <c r="J9" s="103">
        <v>0.08</v>
      </c>
      <c r="K9" s="94"/>
      <c r="L9" s="208"/>
      <c r="M9" s="264"/>
      <c r="N9" s="208"/>
      <c r="O9" s="208"/>
      <c r="P9" s="208"/>
      <c r="Q9" s="208"/>
      <c r="R9" s="264"/>
      <c r="S9" s="264"/>
      <c r="T9" s="264"/>
      <c r="AE9" s="105"/>
      <c r="AF9" s="105"/>
      <c r="AG9" s="105"/>
      <c r="AH9" s="91"/>
      <c r="AI9" s="91"/>
    </row>
    <row r="10" spans="1:35" ht="16" customHeight="1" x14ac:dyDescent="0.35">
      <c r="A10" s="101" t="s">
        <v>157</v>
      </c>
      <c r="B10" s="102">
        <v>560</v>
      </c>
      <c r="C10" s="103">
        <v>0.03</v>
      </c>
      <c r="D10" s="102">
        <v>480</v>
      </c>
      <c r="E10" s="102">
        <v>380</v>
      </c>
      <c r="F10" s="102">
        <v>60</v>
      </c>
      <c r="G10" s="102">
        <v>40</v>
      </c>
      <c r="H10" s="103">
        <v>0.79</v>
      </c>
      <c r="I10" s="103">
        <v>0.13</v>
      </c>
      <c r="J10" s="103">
        <v>0.08</v>
      </c>
      <c r="K10" s="94"/>
      <c r="L10" s="208"/>
      <c r="M10" s="264"/>
      <c r="N10" s="208"/>
      <c r="O10" s="208"/>
      <c r="P10" s="208"/>
      <c r="Q10" s="208"/>
      <c r="R10" s="264"/>
      <c r="S10" s="264"/>
      <c r="T10" s="264"/>
      <c r="AE10" s="105"/>
      <c r="AF10" s="105"/>
      <c r="AG10" s="105"/>
      <c r="AH10" s="91"/>
      <c r="AI10" s="91"/>
    </row>
    <row r="11" spans="1:35" ht="16" customHeight="1" x14ac:dyDescent="0.35">
      <c r="A11" s="101" t="s">
        <v>158</v>
      </c>
      <c r="B11" s="102">
        <v>545</v>
      </c>
      <c r="C11" s="103">
        <v>0.03</v>
      </c>
      <c r="D11" s="102">
        <v>525</v>
      </c>
      <c r="E11" s="102">
        <v>405</v>
      </c>
      <c r="F11" s="102">
        <v>60</v>
      </c>
      <c r="G11" s="102">
        <v>60</v>
      </c>
      <c r="H11" s="103">
        <v>0.77</v>
      </c>
      <c r="I11" s="103">
        <v>0.12</v>
      </c>
      <c r="J11" s="103">
        <v>0.11</v>
      </c>
      <c r="K11" s="94"/>
      <c r="L11" s="208"/>
      <c r="M11" s="264"/>
      <c r="N11" s="208"/>
      <c r="O11" s="208"/>
      <c r="P11" s="208"/>
      <c r="Q11" s="208"/>
      <c r="R11" s="264"/>
      <c r="S11" s="264"/>
      <c r="T11" s="264"/>
      <c r="AE11" s="105"/>
      <c r="AF11" s="105"/>
      <c r="AG11" s="105"/>
      <c r="AH11" s="91"/>
      <c r="AI11" s="91"/>
    </row>
    <row r="12" spans="1:35" ht="16" customHeight="1" x14ac:dyDescent="0.35">
      <c r="A12" s="109" t="s">
        <v>159</v>
      </c>
      <c r="B12" s="102">
        <v>685</v>
      </c>
      <c r="C12" s="103">
        <v>0.04</v>
      </c>
      <c r="D12" s="102">
        <v>710</v>
      </c>
      <c r="E12" s="102">
        <v>550</v>
      </c>
      <c r="F12" s="102">
        <v>95</v>
      </c>
      <c r="G12" s="102">
        <v>65</v>
      </c>
      <c r="H12" s="103">
        <v>0.77</v>
      </c>
      <c r="I12" s="103">
        <v>0.13</v>
      </c>
      <c r="J12" s="103">
        <v>0.09</v>
      </c>
      <c r="K12" s="94"/>
      <c r="L12" s="208"/>
      <c r="M12" s="264"/>
      <c r="N12" s="208"/>
      <c r="O12" s="208"/>
      <c r="P12" s="208"/>
      <c r="Q12" s="208"/>
      <c r="R12" s="264"/>
      <c r="S12" s="264"/>
      <c r="T12" s="264"/>
      <c r="AE12" s="105"/>
      <c r="AF12" s="105"/>
      <c r="AG12" s="105"/>
      <c r="AH12" s="91"/>
      <c r="AI12" s="91"/>
    </row>
    <row r="13" spans="1:35" ht="16" customHeight="1" x14ac:dyDescent="0.35">
      <c r="A13" s="109" t="s">
        <v>153</v>
      </c>
      <c r="B13" s="102">
        <v>610</v>
      </c>
      <c r="C13" s="103">
        <v>0.03</v>
      </c>
      <c r="D13" s="102">
        <v>550</v>
      </c>
      <c r="E13" s="102">
        <v>430</v>
      </c>
      <c r="F13" s="102">
        <v>80</v>
      </c>
      <c r="G13" s="102">
        <v>45</v>
      </c>
      <c r="H13" s="103">
        <v>0.78</v>
      </c>
      <c r="I13" s="103">
        <v>0.14000000000000001</v>
      </c>
      <c r="J13" s="103">
        <v>0.08</v>
      </c>
      <c r="K13" s="94"/>
      <c r="L13" s="208"/>
      <c r="M13" s="264"/>
      <c r="N13" s="208"/>
      <c r="O13" s="208"/>
      <c r="P13" s="208"/>
      <c r="Q13" s="208"/>
      <c r="R13" s="264"/>
      <c r="S13" s="264"/>
      <c r="T13" s="264"/>
      <c r="AE13" s="105"/>
      <c r="AF13" s="105"/>
      <c r="AG13" s="105"/>
      <c r="AH13" s="91"/>
      <c r="AI13" s="91"/>
    </row>
    <row r="14" spans="1:35" ht="16" customHeight="1" x14ac:dyDescent="0.35">
      <c r="A14" s="109" t="s">
        <v>160</v>
      </c>
      <c r="B14" s="102">
        <v>630</v>
      </c>
      <c r="C14" s="103">
        <v>0.03</v>
      </c>
      <c r="D14" s="102">
        <v>565</v>
      </c>
      <c r="E14" s="102">
        <v>420</v>
      </c>
      <c r="F14" s="102">
        <v>110</v>
      </c>
      <c r="G14" s="102">
        <v>35</v>
      </c>
      <c r="H14" s="103">
        <v>0.74</v>
      </c>
      <c r="I14" s="103">
        <v>0.19</v>
      </c>
      <c r="J14" s="103">
        <v>7.0000000000000007E-2</v>
      </c>
      <c r="K14" s="94"/>
      <c r="L14" s="208"/>
      <c r="M14" s="264"/>
      <c r="N14" s="208"/>
      <c r="O14" s="208"/>
      <c r="P14" s="208"/>
      <c r="Q14" s="208"/>
      <c r="R14" s="264"/>
      <c r="S14" s="264"/>
      <c r="T14" s="264"/>
      <c r="AE14" s="105"/>
      <c r="AF14" s="105"/>
      <c r="AG14" s="105"/>
      <c r="AH14" s="91"/>
      <c r="AI14" s="91"/>
    </row>
    <row r="15" spans="1:35" ht="16" customHeight="1" x14ac:dyDescent="0.35">
      <c r="A15" s="109" t="s">
        <v>161</v>
      </c>
      <c r="B15" s="102">
        <v>680</v>
      </c>
      <c r="C15" s="103">
        <v>0.04</v>
      </c>
      <c r="D15" s="102">
        <v>610</v>
      </c>
      <c r="E15" s="102">
        <v>455</v>
      </c>
      <c r="F15" s="102">
        <v>95</v>
      </c>
      <c r="G15" s="102">
        <v>60</v>
      </c>
      <c r="H15" s="103">
        <v>0.75</v>
      </c>
      <c r="I15" s="103">
        <v>0.16</v>
      </c>
      <c r="J15" s="103">
        <v>0.1</v>
      </c>
      <c r="K15" s="94"/>
      <c r="L15" s="208"/>
      <c r="M15" s="264"/>
      <c r="N15" s="208"/>
      <c r="O15" s="208"/>
      <c r="P15" s="208"/>
      <c r="Q15" s="208"/>
      <c r="R15" s="264"/>
      <c r="S15" s="264"/>
      <c r="T15" s="264"/>
      <c r="AE15" s="105"/>
      <c r="AF15" s="105"/>
      <c r="AG15" s="105"/>
      <c r="AH15" s="91"/>
      <c r="AI15" s="91"/>
    </row>
    <row r="16" spans="1:35" ht="16" customHeight="1" x14ac:dyDescent="0.35">
      <c r="A16" s="109" t="s">
        <v>162</v>
      </c>
      <c r="B16" s="102">
        <v>685</v>
      </c>
      <c r="C16" s="103">
        <v>0.04</v>
      </c>
      <c r="D16" s="102">
        <v>645</v>
      </c>
      <c r="E16" s="102">
        <v>500</v>
      </c>
      <c r="F16" s="102">
        <v>100</v>
      </c>
      <c r="G16" s="102">
        <v>45</v>
      </c>
      <c r="H16" s="103">
        <v>0.78</v>
      </c>
      <c r="I16" s="103">
        <v>0.16</v>
      </c>
      <c r="J16" s="103">
        <v>7.0000000000000007E-2</v>
      </c>
      <c r="K16" s="94"/>
      <c r="L16" s="208"/>
      <c r="M16" s="264"/>
      <c r="N16" s="208"/>
      <c r="O16" s="208"/>
      <c r="P16" s="208"/>
      <c r="Q16" s="208"/>
      <c r="R16" s="264"/>
      <c r="S16" s="264"/>
      <c r="T16" s="264"/>
      <c r="AE16" s="105"/>
      <c r="AF16" s="105"/>
      <c r="AG16" s="105"/>
      <c r="AH16" s="91"/>
      <c r="AI16" s="91"/>
    </row>
    <row r="17" spans="1:35" ht="16" customHeight="1" x14ac:dyDescent="0.35">
      <c r="A17" s="109" t="s">
        <v>163</v>
      </c>
      <c r="B17" s="102">
        <v>785</v>
      </c>
      <c r="C17" s="103">
        <v>0.04</v>
      </c>
      <c r="D17" s="102">
        <v>950</v>
      </c>
      <c r="E17" s="102">
        <v>740</v>
      </c>
      <c r="F17" s="102">
        <v>140</v>
      </c>
      <c r="G17" s="102">
        <v>70</v>
      </c>
      <c r="H17" s="103">
        <v>0.78</v>
      </c>
      <c r="I17" s="103">
        <v>0.15</v>
      </c>
      <c r="J17" s="103">
        <v>7.0000000000000007E-2</v>
      </c>
      <c r="K17" s="94"/>
      <c r="L17" s="208"/>
      <c r="M17" s="264"/>
      <c r="N17" s="208"/>
      <c r="O17" s="208"/>
      <c r="P17" s="208"/>
      <c r="Q17" s="208"/>
      <c r="R17" s="264"/>
      <c r="S17" s="264"/>
      <c r="T17" s="264"/>
      <c r="AE17" s="105"/>
      <c r="AF17" s="105"/>
      <c r="AG17" s="105"/>
      <c r="AH17" s="91"/>
      <c r="AI17" s="91"/>
    </row>
    <row r="18" spans="1:35" ht="16" customHeight="1" x14ac:dyDescent="0.35">
      <c r="A18" s="109" t="s">
        <v>164</v>
      </c>
      <c r="B18" s="102">
        <v>740</v>
      </c>
      <c r="C18" s="103">
        <v>0.04</v>
      </c>
      <c r="D18" s="102">
        <v>740</v>
      </c>
      <c r="E18" s="102">
        <v>555</v>
      </c>
      <c r="F18" s="102">
        <v>105</v>
      </c>
      <c r="G18" s="102">
        <v>80</v>
      </c>
      <c r="H18" s="103">
        <v>0.75</v>
      </c>
      <c r="I18" s="103">
        <v>0.14000000000000001</v>
      </c>
      <c r="J18" s="103">
        <v>0.11</v>
      </c>
      <c r="K18" s="94"/>
      <c r="L18" s="208"/>
      <c r="M18" s="264"/>
      <c r="N18" s="208"/>
      <c r="O18" s="208"/>
      <c r="P18" s="208"/>
      <c r="Q18" s="208"/>
      <c r="R18" s="264"/>
      <c r="S18" s="264"/>
      <c r="T18" s="264"/>
      <c r="AE18" s="105"/>
      <c r="AF18" s="105"/>
      <c r="AG18" s="105"/>
      <c r="AH18" s="91"/>
      <c r="AI18" s="91"/>
    </row>
    <row r="19" spans="1:35" ht="16" customHeight="1" x14ac:dyDescent="0.35">
      <c r="A19" s="109" t="s">
        <v>165</v>
      </c>
      <c r="B19" s="102">
        <v>640</v>
      </c>
      <c r="C19" s="103">
        <v>0.03</v>
      </c>
      <c r="D19" s="102">
        <v>685</v>
      </c>
      <c r="E19" s="102">
        <v>525</v>
      </c>
      <c r="F19" s="102">
        <v>80</v>
      </c>
      <c r="G19" s="102">
        <v>75</v>
      </c>
      <c r="H19" s="103">
        <v>0.77</v>
      </c>
      <c r="I19" s="103">
        <v>0.12</v>
      </c>
      <c r="J19" s="103">
        <v>0.11</v>
      </c>
      <c r="K19" s="94"/>
      <c r="L19" s="208"/>
      <c r="M19" s="264"/>
      <c r="N19" s="208"/>
      <c r="O19" s="208"/>
      <c r="P19" s="208"/>
      <c r="Q19" s="208"/>
      <c r="R19" s="264"/>
      <c r="S19" s="264"/>
      <c r="T19" s="264"/>
      <c r="AE19" s="105"/>
      <c r="AF19" s="105"/>
      <c r="AG19" s="105"/>
      <c r="AH19" s="91"/>
      <c r="AI19" s="91"/>
    </row>
    <row r="20" spans="1:35" s="107" customFormat="1" ht="16" customHeight="1" x14ac:dyDescent="0.35">
      <c r="A20" s="109" t="s">
        <v>166</v>
      </c>
      <c r="B20" s="102">
        <v>620</v>
      </c>
      <c r="C20" s="103">
        <v>0.03</v>
      </c>
      <c r="D20" s="102">
        <v>635</v>
      </c>
      <c r="E20" s="102">
        <v>490</v>
      </c>
      <c r="F20" s="102">
        <v>85</v>
      </c>
      <c r="G20" s="102">
        <v>60</v>
      </c>
      <c r="H20" s="103">
        <v>0.77</v>
      </c>
      <c r="I20" s="103">
        <v>0.14000000000000001</v>
      </c>
      <c r="J20" s="103">
        <v>0.09</v>
      </c>
      <c r="K20" s="106"/>
      <c r="L20" s="208"/>
      <c r="M20" s="264"/>
      <c r="N20" s="208"/>
      <c r="O20" s="208"/>
      <c r="P20" s="208"/>
      <c r="Q20" s="208"/>
      <c r="R20" s="264"/>
      <c r="S20" s="264"/>
      <c r="T20" s="264"/>
      <c r="V20" s="85"/>
      <c r="W20" s="85"/>
      <c r="X20" s="85"/>
      <c r="Y20" s="85"/>
      <c r="Z20" s="85"/>
      <c r="AA20" s="85"/>
      <c r="AB20" s="85"/>
      <c r="AC20" s="85"/>
      <c r="AD20" s="85"/>
      <c r="AE20" s="108"/>
      <c r="AF20" s="108"/>
      <c r="AG20" s="108"/>
      <c r="AH20" s="108"/>
      <c r="AI20" s="108"/>
    </row>
    <row r="21" spans="1:35" s="107" customFormat="1" ht="16" customHeight="1" x14ac:dyDescent="0.35">
      <c r="A21" s="109" t="s">
        <v>167</v>
      </c>
      <c r="B21" s="102">
        <v>680</v>
      </c>
      <c r="C21" s="103">
        <v>0.04</v>
      </c>
      <c r="D21" s="102">
        <v>640</v>
      </c>
      <c r="E21" s="102">
        <v>495</v>
      </c>
      <c r="F21" s="102">
        <v>70</v>
      </c>
      <c r="G21" s="102">
        <v>75</v>
      </c>
      <c r="H21" s="103">
        <v>0.77</v>
      </c>
      <c r="I21" s="103">
        <v>0.11</v>
      </c>
      <c r="J21" s="103">
        <v>0.12</v>
      </c>
      <c r="K21" s="106"/>
      <c r="L21" s="208"/>
      <c r="M21" s="264"/>
      <c r="N21" s="208"/>
      <c r="O21" s="208"/>
      <c r="P21" s="208"/>
      <c r="Q21" s="208"/>
      <c r="R21" s="264"/>
      <c r="S21" s="264"/>
      <c r="T21" s="264"/>
      <c r="V21" s="85"/>
      <c r="W21" s="85"/>
      <c r="X21" s="85"/>
      <c r="Y21" s="85"/>
      <c r="Z21" s="85"/>
      <c r="AA21" s="85"/>
      <c r="AB21" s="85"/>
      <c r="AC21" s="85"/>
      <c r="AD21" s="85"/>
      <c r="AE21" s="108"/>
      <c r="AF21" s="108"/>
      <c r="AG21" s="108"/>
      <c r="AH21" s="108"/>
      <c r="AI21" s="108"/>
    </row>
    <row r="22" spans="1:35" s="107" customFormat="1" ht="16" customHeight="1" x14ac:dyDescent="0.35">
      <c r="A22" s="109" t="s">
        <v>168</v>
      </c>
      <c r="B22" s="102">
        <v>765</v>
      </c>
      <c r="C22" s="103">
        <v>0.04</v>
      </c>
      <c r="D22" s="102">
        <v>675</v>
      </c>
      <c r="E22" s="102">
        <v>520</v>
      </c>
      <c r="F22" s="102">
        <v>65</v>
      </c>
      <c r="G22" s="102">
        <v>90</v>
      </c>
      <c r="H22" s="103">
        <v>0.77</v>
      </c>
      <c r="I22" s="103">
        <v>0.1</v>
      </c>
      <c r="J22" s="103">
        <v>0.13</v>
      </c>
      <c r="K22" s="110"/>
      <c r="L22" s="208"/>
      <c r="M22" s="264"/>
      <c r="N22" s="208"/>
      <c r="O22" s="208"/>
      <c r="P22" s="208"/>
      <c r="Q22" s="208"/>
      <c r="R22" s="264"/>
      <c r="S22" s="264"/>
      <c r="T22" s="264"/>
      <c r="V22" s="85"/>
      <c r="W22" s="85"/>
      <c r="X22" s="85"/>
      <c r="Y22" s="85"/>
      <c r="Z22" s="85"/>
      <c r="AA22" s="85"/>
      <c r="AB22" s="85"/>
      <c r="AC22" s="85"/>
      <c r="AD22" s="85"/>
      <c r="AE22" s="108"/>
      <c r="AF22" s="108"/>
      <c r="AG22" s="108"/>
      <c r="AH22" s="108"/>
      <c r="AI22" s="108"/>
    </row>
    <row r="23" spans="1:35" s="107" customFormat="1" ht="16" customHeight="1" x14ac:dyDescent="0.35">
      <c r="A23" s="109" t="s">
        <v>169</v>
      </c>
      <c r="B23" s="102">
        <v>645</v>
      </c>
      <c r="C23" s="103">
        <v>0.03</v>
      </c>
      <c r="D23" s="102">
        <v>620</v>
      </c>
      <c r="E23" s="102">
        <v>465</v>
      </c>
      <c r="F23" s="102">
        <v>75</v>
      </c>
      <c r="G23" s="102">
        <v>80</v>
      </c>
      <c r="H23" s="103">
        <v>0.75</v>
      </c>
      <c r="I23" s="103">
        <v>0.12</v>
      </c>
      <c r="J23" s="103">
        <v>0.13</v>
      </c>
      <c r="K23" s="106"/>
      <c r="L23" s="208"/>
      <c r="M23" s="264"/>
      <c r="N23" s="208"/>
      <c r="O23" s="208"/>
      <c r="P23" s="208"/>
      <c r="Q23" s="208"/>
      <c r="R23" s="264"/>
      <c r="S23" s="264"/>
      <c r="T23" s="264"/>
      <c r="V23" s="85"/>
      <c r="W23" s="85"/>
      <c r="X23" s="85"/>
      <c r="Y23" s="85"/>
      <c r="Z23" s="85"/>
      <c r="AA23" s="85"/>
      <c r="AB23" s="85"/>
      <c r="AC23" s="85"/>
      <c r="AD23" s="85"/>
      <c r="AE23" s="108"/>
      <c r="AF23" s="108"/>
      <c r="AG23" s="108"/>
      <c r="AH23" s="108"/>
      <c r="AI23" s="108"/>
    </row>
    <row r="24" spans="1:35" s="107" customFormat="1" ht="16" customHeight="1" x14ac:dyDescent="0.35">
      <c r="A24" s="109" t="s">
        <v>170</v>
      </c>
      <c r="B24" s="102">
        <v>830</v>
      </c>
      <c r="C24" s="103">
        <v>0.04</v>
      </c>
      <c r="D24" s="102">
        <v>780</v>
      </c>
      <c r="E24" s="102">
        <v>635</v>
      </c>
      <c r="F24" s="102">
        <v>60</v>
      </c>
      <c r="G24" s="102">
        <v>85</v>
      </c>
      <c r="H24" s="103">
        <v>0.81</v>
      </c>
      <c r="I24" s="103">
        <v>0.08</v>
      </c>
      <c r="J24" s="103">
        <v>0.11</v>
      </c>
      <c r="K24" s="106"/>
      <c r="L24" s="208"/>
      <c r="M24" s="264"/>
      <c r="N24" s="208"/>
      <c r="O24" s="208"/>
      <c r="P24" s="208"/>
      <c r="Q24" s="208"/>
      <c r="R24" s="264"/>
      <c r="S24" s="264"/>
      <c r="T24" s="264"/>
      <c r="V24" s="85"/>
      <c r="W24" s="85"/>
      <c r="X24" s="85"/>
      <c r="Y24" s="85"/>
      <c r="Z24" s="85"/>
      <c r="AA24" s="85"/>
      <c r="AB24" s="85"/>
      <c r="AC24" s="85"/>
      <c r="AD24" s="85"/>
      <c r="AE24" s="108"/>
      <c r="AF24" s="108"/>
      <c r="AG24" s="108"/>
      <c r="AH24" s="108"/>
      <c r="AI24" s="108"/>
    </row>
    <row r="25" spans="1:35" ht="16" customHeight="1" x14ac:dyDescent="0.35">
      <c r="A25" s="109" t="s">
        <v>154</v>
      </c>
      <c r="B25" s="102">
        <v>810</v>
      </c>
      <c r="C25" s="103">
        <v>0.04</v>
      </c>
      <c r="D25" s="102">
        <v>740</v>
      </c>
      <c r="E25" s="102">
        <v>565</v>
      </c>
      <c r="F25" s="102">
        <v>70</v>
      </c>
      <c r="G25" s="102">
        <v>110</v>
      </c>
      <c r="H25" s="103">
        <v>0.76</v>
      </c>
      <c r="I25" s="103">
        <v>0.09</v>
      </c>
      <c r="J25" s="103">
        <v>0.15</v>
      </c>
      <c r="K25" s="94"/>
      <c r="L25" s="208"/>
      <c r="M25" s="264"/>
      <c r="N25" s="208"/>
      <c r="O25" s="208"/>
      <c r="P25" s="208"/>
      <c r="Q25" s="208"/>
      <c r="R25" s="264"/>
      <c r="S25" s="264"/>
      <c r="T25" s="264"/>
    </row>
    <row r="26" spans="1:35" ht="16" customHeight="1" x14ac:dyDescent="0.35">
      <c r="A26" s="109" t="s">
        <v>171</v>
      </c>
      <c r="B26" s="102">
        <v>805</v>
      </c>
      <c r="C26" s="103">
        <v>0.04</v>
      </c>
      <c r="D26" s="102">
        <v>950</v>
      </c>
      <c r="E26" s="102">
        <v>750</v>
      </c>
      <c r="F26" s="102">
        <v>105</v>
      </c>
      <c r="G26" s="102">
        <v>95</v>
      </c>
      <c r="H26" s="103">
        <v>0.79</v>
      </c>
      <c r="I26" s="103">
        <v>0.11</v>
      </c>
      <c r="J26" s="103">
        <v>0.1</v>
      </c>
      <c r="K26" s="94"/>
      <c r="L26" s="208"/>
      <c r="M26" s="264"/>
      <c r="N26" s="208"/>
      <c r="O26" s="208"/>
      <c r="P26" s="208"/>
      <c r="Q26" s="208"/>
      <c r="R26" s="264"/>
      <c r="S26" s="264"/>
      <c r="T26" s="264"/>
    </row>
    <row r="27" spans="1:35" ht="16" customHeight="1" x14ac:dyDescent="0.35">
      <c r="A27" s="109" t="s">
        <v>172</v>
      </c>
      <c r="B27" s="102">
        <v>670</v>
      </c>
      <c r="C27" s="103">
        <v>0.04</v>
      </c>
      <c r="D27" s="102">
        <v>760</v>
      </c>
      <c r="E27" s="102">
        <v>565</v>
      </c>
      <c r="F27" s="102">
        <v>100</v>
      </c>
      <c r="G27" s="102">
        <v>95</v>
      </c>
      <c r="H27" s="103">
        <v>0.75</v>
      </c>
      <c r="I27" s="103">
        <v>0.13</v>
      </c>
      <c r="J27" s="103">
        <v>0.12</v>
      </c>
      <c r="K27" s="94"/>
      <c r="L27" s="208"/>
      <c r="M27" s="264"/>
      <c r="N27" s="208"/>
      <c r="O27" s="208"/>
      <c r="P27" s="208"/>
      <c r="Q27" s="208"/>
      <c r="R27" s="264"/>
      <c r="S27" s="264"/>
      <c r="T27" s="264"/>
    </row>
    <row r="28" spans="1:35" ht="16" customHeight="1" x14ac:dyDescent="0.35">
      <c r="A28" s="115" t="s">
        <v>173</v>
      </c>
      <c r="B28" s="102">
        <v>625</v>
      </c>
      <c r="C28" s="103">
        <v>0.03</v>
      </c>
      <c r="D28" s="102">
        <v>520</v>
      </c>
      <c r="E28" s="102">
        <v>395</v>
      </c>
      <c r="F28" s="102">
        <v>60</v>
      </c>
      <c r="G28" s="102">
        <v>65</v>
      </c>
      <c r="H28" s="103">
        <v>0.76</v>
      </c>
      <c r="I28" s="103">
        <v>0.12</v>
      </c>
      <c r="J28" s="103">
        <v>0.12</v>
      </c>
      <c r="K28" s="94"/>
      <c r="L28" s="208"/>
      <c r="M28" s="264"/>
      <c r="N28" s="208"/>
      <c r="O28" s="208"/>
      <c r="P28" s="208"/>
      <c r="Q28" s="208"/>
      <c r="R28" s="264"/>
      <c r="S28" s="264"/>
      <c r="T28" s="264"/>
    </row>
    <row r="29" spans="1:35" ht="16" customHeight="1" x14ac:dyDescent="0.35">
      <c r="A29" s="195" t="s">
        <v>223</v>
      </c>
      <c r="B29" s="102">
        <v>740</v>
      </c>
      <c r="C29" s="103">
        <v>0.04</v>
      </c>
      <c r="D29" s="102">
        <v>685</v>
      </c>
      <c r="E29" s="102">
        <v>520</v>
      </c>
      <c r="F29" s="102">
        <v>85</v>
      </c>
      <c r="G29" s="102">
        <v>80</v>
      </c>
      <c r="H29" s="103">
        <v>0.76</v>
      </c>
      <c r="I29" s="103">
        <v>0.12</v>
      </c>
      <c r="J29" s="103">
        <v>0.11</v>
      </c>
      <c r="K29" s="94"/>
      <c r="L29" s="208"/>
      <c r="M29" s="264"/>
      <c r="N29" s="208"/>
      <c r="O29" s="208"/>
      <c r="P29" s="208"/>
      <c r="Q29" s="208"/>
      <c r="R29" s="264"/>
      <c r="S29" s="264"/>
      <c r="T29" s="264"/>
    </row>
    <row r="30" spans="1:35" ht="16" customHeight="1" x14ac:dyDescent="0.35">
      <c r="A30" s="195" t="s">
        <v>334</v>
      </c>
      <c r="B30" s="102">
        <v>665</v>
      </c>
      <c r="C30" s="197">
        <v>0.03</v>
      </c>
      <c r="D30" s="196">
        <v>805</v>
      </c>
      <c r="E30" s="196">
        <v>640</v>
      </c>
      <c r="F30" s="196">
        <v>85</v>
      </c>
      <c r="G30" s="196">
        <v>80</v>
      </c>
      <c r="H30" s="197">
        <v>0.8</v>
      </c>
      <c r="I30" s="197">
        <v>0.11</v>
      </c>
      <c r="J30" s="197">
        <v>0.1</v>
      </c>
      <c r="K30" s="94"/>
      <c r="L30" s="208"/>
      <c r="M30" s="264"/>
      <c r="N30" s="208"/>
      <c r="O30" s="208"/>
      <c r="P30" s="208"/>
      <c r="Q30" s="208"/>
      <c r="R30" s="264"/>
      <c r="S30" s="264"/>
      <c r="T30" s="264"/>
    </row>
    <row r="31" spans="1:35" ht="16" customHeight="1" x14ac:dyDescent="0.35">
      <c r="A31" s="195" t="s">
        <v>335</v>
      </c>
      <c r="B31" s="102">
        <v>675</v>
      </c>
      <c r="C31" s="197">
        <v>0.04</v>
      </c>
      <c r="D31" s="196">
        <v>750</v>
      </c>
      <c r="E31" s="196">
        <v>580</v>
      </c>
      <c r="F31" s="196">
        <v>90</v>
      </c>
      <c r="G31" s="196">
        <v>75</v>
      </c>
      <c r="H31" s="197">
        <v>0.78</v>
      </c>
      <c r="I31" s="197">
        <v>0.12</v>
      </c>
      <c r="J31" s="197">
        <v>0.1</v>
      </c>
      <c r="K31" s="94"/>
      <c r="L31" s="208"/>
      <c r="M31" s="264"/>
      <c r="N31" s="208"/>
      <c r="O31" s="208"/>
      <c r="P31" s="208"/>
      <c r="Q31" s="208"/>
      <c r="R31" s="264"/>
      <c r="S31" s="264"/>
      <c r="T31" s="264"/>
    </row>
    <row r="32" spans="1:35" ht="16" customHeight="1" x14ac:dyDescent="0.35">
      <c r="A32" s="195" t="s">
        <v>336</v>
      </c>
      <c r="B32" s="196">
        <v>735</v>
      </c>
      <c r="C32" s="197">
        <v>0.04</v>
      </c>
      <c r="D32" s="196">
        <v>740</v>
      </c>
      <c r="E32" s="196">
        <v>575</v>
      </c>
      <c r="F32" s="196">
        <v>105</v>
      </c>
      <c r="G32" s="196">
        <v>60</v>
      </c>
      <c r="H32" s="197">
        <v>0.77</v>
      </c>
      <c r="I32" s="197">
        <v>0.14000000000000001</v>
      </c>
      <c r="J32" s="197">
        <v>0.08</v>
      </c>
      <c r="K32" s="94"/>
      <c r="L32" s="208"/>
      <c r="M32" s="264"/>
      <c r="N32" s="208"/>
      <c r="O32" s="208"/>
      <c r="P32" s="208"/>
      <c r="Q32" s="208"/>
      <c r="R32" s="264"/>
      <c r="S32" s="264"/>
      <c r="T32" s="264"/>
    </row>
    <row r="33" spans="1:20" ht="16" customHeight="1" x14ac:dyDescent="0.35">
      <c r="A33" s="195" t="s">
        <v>366</v>
      </c>
      <c r="B33" s="102">
        <v>775</v>
      </c>
      <c r="C33" s="197">
        <v>0.04</v>
      </c>
      <c r="D33" s="196">
        <v>545</v>
      </c>
      <c r="E33" s="196">
        <v>430</v>
      </c>
      <c r="F33" s="196">
        <v>75</v>
      </c>
      <c r="G33" s="196">
        <v>40</v>
      </c>
      <c r="H33" s="197">
        <v>0.79</v>
      </c>
      <c r="I33" s="197">
        <v>0.13</v>
      </c>
      <c r="J33" s="197">
        <v>7.0000000000000007E-2</v>
      </c>
      <c r="K33" s="94"/>
      <c r="L33" s="208"/>
      <c r="M33" s="264"/>
      <c r="N33" s="208"/>
      <c r="O33" s="208"/>
      <c r="P33" s="208"/>
      <c r="Q33" s="208"/>
      <c r="R33" s="264"/>
      <c r="S33" s="264"/>
      <c r="T33" s="264"/>
    </row>
    <row r="34" spans="1:20" ht="16" customHeight="1" x14ac:dyDescent="0.35">
      <c r="A34" s="195" t="s">
        <v>367</v>
      </c>
      <c r="B34" s="102">
        <v>815</v>
      </c>
      <c r="C34" s="197">
        <v>0.04</v>
      </c>
      <c r="D34" s="196">
        <v>615</v>
      </c>
      <c r="E34" s="196">
        <v>470</v>
      </c>
      <c r="F34" s="196">
        <v>85</v>
      </c>
      <c r="G34" s="196">
        <v>60</v>
      </c>
      <c r="H34" s="197">
        <v>0.76</v>
      </c>
      <c r="I34" s="197">
        <v>0.14000000000000001</v>
      </c>
      <c r="J34" s="197">
        <v>0.09</v>
      </c>
      <c r="L34" s="208"/>
      <c r="M34" s="264"/>
      <c r="N34" s="208"/>
      <c r="O34" s="208"/>
      <c r="P34" s="208"/>
      <c r="Q34" s="208"/>
      <c r="R34" s="264"/>
      <c r="S34" s="264"/>
      <c r="T34" s="264"/>
    </row>
    <row r="35" spans="1:20" ht="16" customHeight="1" thickBot="1" x14ac:dyDescent="0.4">
      <c r="A35" s="114" t="s">
        <v>368</v>
      </c>
      <c r="B35" s="199">
        <v>710</v>
      </c>
      <c r="C35" s="198">
        <v>0.04</v>
      </c>
      <c r="D35" s="199">
        <v>670</v>
      </c>
      <c r="E35" s="199">
        <v>470</v>
      </c>
      <c r="F35" s="199">
        <v>135</v>
      </c>
      <c r="G35" s="199">
        <v>65</v>
      </c>
      <c r="H35" s="198">
        <v>0.7</v>
      </c>
      <c r="I35" s="198">
        <v>0.2</v>
      </c>
      <c r="J35" s="198">
        <v>0.09</v>
      </c>
      <c r="L35" s="208"/>
      <c r="M35" s="264"/>
      <c r="N35" s="208"/>
      <c r="O35" s="208"/>
      <c r="P35" s="208"/>
      <c r="Q35" s="208"/>
      <c r="R35" s="264"/>
      <c r="S35" s="264"/>
      <c r="T35" s="264"/>
    </row>
    <row r="36" spans="1:20" ht="16" customHeight="1" x14ac:dyDescent="0.35">
      <c r="A36" s="111" t="s">
        <v>180</v>
      </c>
      <c r="B36" s="102">
        <v>3975</v>
      </c>
      <c r="C36" s="103">
        <v>0.21</v>
      </c>
      <c r="D36" s="102">
        <v>3445</v>
      </c>
      <c r="E36" s="102">
        <v>2685</v>
      </c>
      <c r="F36" s="102">
        <v>460</v>
      </c>
      <c r="G36" s="102">
        <v>300</v>
      </c>
      <c r="H36" s="103">
        <v>0.78</v>
      </c>
      <c r="I36" s="103">
        <v>0.13</v>
      </c>
      <c r="J36" s="103">
        <v>0.09</v>
      </c>
    </row>
    <row r="37" spans="1:20" ht="15.5" x14ac:dyDescent="0.35">
      <c r="A37" s="111" t="s">
        <v>181</v>
      </c>
      <c r="B37" s="102">
        <v>8685</v>
      </c>
      <c r="C37" s="103">
        <v>0.46</v>
      </c>
      <c r="D37" s="102">
        <v>8670</v>
      </c>
      <c r="E37" s="102">
        <v>6695</v>
      </c>
      <c r="F37" s="102">
        <v>1055</v>
      </c>
      <c r="G37" s="102">
        <v>925</v>
      </c>
      <c r="H37" s="103">
        <v>0.77</v>
      </c>
      <c r="I37" s="103">
        <v>0.12</v>
      </c>
      <c r="J37" s="103">
        <v>0.11</v>
      </c>
    </row>
    <row r="38" spans="1:20" ht="16" customHeight="1" x14ac:dyDescent="0.35">
      <c r="A38" s="111" t="s">
        <v>182</v>
      </c>
      <c r="B38" s="102">
        <v>6415</v>
      </c>
      <c r="C38" s="103">
        <v>0.34</v>
      </c>
      <c r="D38" s="102">
        <v>6085</v>
      </c>
      <c r="E38" s="102">
        <v>4655</v>
      </c>
      <c r="F38" s="102">
        <v>820</v>
      </c>
      <c r="G38" s="102">
        <v>610</v>
      </c>
      <c r="H38" s="103">
        <v>0.76</v>
      </c>
      <c r="I38" s="103">
        <v>0.13</v>
      </c>
      <c r="J38" s="103">
        <v>0.1</v>
      </c>
    </row>
    <row r="39" spans="1:20" ht="16" customHeight="1" x14ac:dyDescent="0.35">
      <c r="A39" s="94" t="s">
        <v>7</v>
      </c>
      <c r="B39" s="250"/>
      <c r="C39" s="251"/>
      <c r="D39" s="252"/>
      <c r="E39" s="252"/>
      <c r="F39" s="252"/>
      <c r="G39" s="252"/>
      <c r="H39" s="251"/>
      <c r="I39" s="251"/>
      <c r="J39" s="251"/>
      <c r="K39" s="91"/>
    </row>
    <row r="40" spans="1:20" ht="17.149999999999999" customHeight="1" x14ac:dyDescent="0.35">
      <c r="A40" s="94" t="s">
        <v>219</v>
      </c>
      <c r="B40" s="106"/>
      <c r="C40" s="106"/>
      <c r="D40" s="106"/>
      <c r="E40" s="106"/>
      <c r="F40" s="106"/>
      <c r="G40" s="106"/>
      <c r="H40" s="106"/>
      <c r="I40" s="106"/>
      <c r="J40" s="106"/>
    </row>
    <row r="41" spans="1:20" ht="16" customHeight="1" x14ac:dyDescent="0.35">
      <c r="A41" s="94" t="s">
        <v>218</v>
      </c>
      <c r="B41" s="106"/>
      <c r="C41" s="106"/>
      <c r="D41" s="106"/>
      <c r="E41" s="106"/>
      <c r="F41" s="106"/>
      <c r="G41" s="106"/>
      <c r="H41" s="106"/>
      <c r="I41" s="106"/>
      <c r="J41" s="106"/>
    </row>
    <row r="42" spans="1:20" ht="16" customHeight="1" x14ac:dyDescent="0.35">
      <c r="A42" s="94" t="s">
        <v>369</v>
      </c>
      <c r="B42" s="110"/>
      <c r="C42" s="110"/>
      <c r="D42" s="110"/>
      <c r="E42" s="110"/>
      <c r="F42" s="110"/>
      <c r="G42" s="110"/>
      <c r="H42" s="110"/>
      <c r="I42" s="110"/>
      <c r="J42" s="110"/>
    </row>
    <row r="43" spans="1:20" ht="16" customHeight="1" x14ac:dyDescent="0.35">
      <c r="A43" s="112" t="s">
        <v>359</v>
      </c>
      <c r="B43" s="94"/>
      <c r="C43" s="94"/>
      <c r="D43" s="94"/>
      <c r="E43" s="94"/>
      <c r="F43" s="94"/>
      <c r="G43" s="94"/>
      <c r="H43" s="94"/>
      <c r="I43" s="94"/>
      <c r="J43" s="94"/>
    </row>
    <row r="44" spans="1:20" ht="16" customHeight="1" x14ac:dyDescent="0.35">
      <c r="A44" s="106" t="s">
        <v>220</v>
      </c>
      <c r="B44" s="94"/>
      <c r="C44" s="94"/>
      <c r="D44" s="94"/>
      <c r="E44" s="94"/>
      <c r="F44" s="94"/>
      <c r="G44" s="94"/>
      <c r="H44" s="94"/>
      <c r="I44" s="94"/>
      <c r="J44" s="94"/>
    </row>
    <row r="45" spans="1:20" ht="16" customHeight="1" x14ac:dyDescent="0.35">
      <c r="A45" s="112"/>
      <c r="B45" s="94"/>
      <c r="C45" s="94"/>
      <c r="D45" s="94"/>
      <c r="E45" s="94"/>
      <c r="F45" s="94"/>
      <c r="G45" s="94"/>
      <c r="H45" s="94"/>
      <c r="I45" s="94"/>
      <c r="J45" s="94"/>
    </row>
    <row r="46" spans="1:20" ht="16" customHeight="1" x14ac:dyDescent="0.35">
      <c r="B46" s="94"/>
      <c r="C46" s="94"/>
      <c r="D46" s="94"/>
      <c r="E46" s="94"/>
      <c r="F46" s="94"/>
      <c r="G46" s="94"/>
      <c r="H46" s="94"/>
      <c r="I46" s="94"/>
      <c r="J46" s="94"/>
    </row>
    <row r="47" spans="1:20" ht="16" customHeight="1" x14ac:dyDescent="0.35">
      <c r="B47" s="94"/>
      <c r="C47" s="94"/>
      <c r="D47" s="94"/>
      <c r="E47" s="94"/>
      <c r="F47" s="94"/>
      <c r="G47" s="94"/>
      <c r="H47" s="94"/>
      <c r="I47" s="94"/>
      <c r="J47" s="94"/>
    </row>
  </sheetData>
  <conditionalFormatting sqref="AE8:AG19">
    <cfRule type="dataBar" priority="8">
      <dataBar>
        <cfvo type="num" val="0"/>
        <cfvo type="num" val="1"/>
        <color theme="4" tint="-0.249977111117893"/>
      </dataBar>
      <extLst>
        <ext xmlns:x14="http://schemas.microsoft.com/office/spreadsheetml/2009/9/main" uri="{B025F937-C7B1-47D3-B67F-A62EFF666E3E}">
          <x14:id>{D34D26EE-0B9E-488A-B459-0999647BA654}</x14:id>
        </ext>
      </extLst>
    </cfRule>
  </conditionalFormatting>
  <conditionalFormatting sqref="H7:J27 C7:C27 C29:C32 H29:J32 H36:J38 C36:C38">
    <cfRule type="dataBar" priority="3">
      <dataBar>
        <cfvo type="num" val="0"/>
        <cfvo type="num" val="1"/>
        <color rgb="FFB4A9D4"/>
      </dataBar>
      <extLst>
        <ext xmlns:x14="http://schemas.microsoft.com/office/spreadsheetml/2009/9/main" uri="{B025F937-C7B1-47D3-B67F-A62EFF666E3E}">
          <x14:id>{4DFBFD4A-1CD2-4C71-9039-FEA063B61651}</x14:id>
        </ext>
      </extLst>
    </cfRule>
  </conditionalFormatting>
  <conditionalFormatting sqref="H28:J28 C28">
    <cfRule type="dataBar" priority="2">
      <dataBar>
        <cfvo type="num" val="0"/>
        <cfvo type="num" val="1"/>
        <color rgb="FFB4A9D4"/>
      </dataBar>
      <extLst>
        <ext xmlns:x14="http://schemas.microsoft.com/office/spreadsheetml/2009/9/main" uri="{B025F937-C7B1-47D3-B67F-A62EFF666E3E}">
          <x14:id>{E2513A13-EFA1-4A85-B8A8-41376637CD86}</x14:id>
        </ext>
      </extLst>
    </cfRule>
  </conditionalFormatting>
  <conditionalFormatting sqref="C33:C35 H33:J35">
    <cfRule type="dataBar" priority="1">
      <dataBar>
        <cfvo type="num" val="0"/>
        <cfvo type="num" val="1"/>
        <color rgb="FFB4A9D4"/>
      </dataBar>
      <extLst>
        <ext xmlns:x14="http://schemas.microsoft.com/office/spreadsheetml/2009/9/main" uri="{B025F937-C7B1-47D3-B67F-A62EFF666E3E}">
          <x14:id>{7DFD70D3-1A59-422F-B003-DE9F202AE190}</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34D26EE-0B9E-488A-B459-0999647BA654}">
            <x14:dataBar minLength="0" maxLength="100" border="1">
              <x14:cfvo type="num">
                <xm:f>0</xm:f>
              </x14:cfvo>
              <x14:cfvo type="num">
                <xm:f>1</xm:f>
              </x14:cfvo>
              <x14:borderColor theme="8" tint="0.39997558519241921"/>
              <x14:negativeFillColor rgb="FFFF0000"/>
              <x14:axisColor rgb="FF000000"/>
            </x14:dataBar>
          </x14:cfRule>
          <xm:sqref>AE8:AG19</xm:sqref>
        </x14:conditionalFormatting>
        <x14:conditionalFormatting xmlns:xm="http://schemas.microsoft.com/office/excel/2006/main">
          <x14:cfRule type="dataBar" id="{4DFBFD4A-1CD2-4C71-9039-FEA063B61651}">
            <x14:dataBar minLength="0" maxLength="100" gradient="0">
              <x14:cfvo type="num">
                <xm:f>0</xm:f>
              </x14:cfvo>
              <x14:cfvo type="num">
                <xm:f>1</xm:f>
              </x14:cfvo>
              <x14:negativeFillColor rgb="FFFF0000"/>
              <x14:axisColor rgb="FF000000"/>
            </x14:dataBar>
          </x14:cfRule>
          <xm:sqref>H7:J27 C7:C27 C29:C32 H29:J32 H36:J38 C36:C38</xm:sqref>
        </x14:conditionalFormatting>
        <x14:conditionalFormatting xmlns:xm="http://schemas.microsoft.com/office/excel/2006/main">
          <x14:cfRule type="dataBar" id="{E2513A13-EFA1-4A85-B8A8-41376637CD86}">
            <x14:dataBar minLength="0" maxLength="100" gradient="0">
              <x14:cfvo type="num">
                <xm:f>0</xm:f>
              </x14:cfvo>
              <x14:cfvo type="num">
                <xm:f>1</xm:f>
              </x14:cfvo>
              <x14:negativeFillColor rgb="FFFF0000"/>
              <x14:axisColor rgb="FF000000"/>
            </x14:dataBar>
          </x14:cfRule>
          <xm:sqref>H28:J28 C28</xm:sqref>
        </x14:conditionalFormatting>
        <x14:conditionalFormatting xmlns:xm="http://schemas.microsoft.com/office/excel/2006/main">
          <x14:cfRule type="dataBar" id="{7DFD70D3-1A59-422F-B003-DE9F202AE190}">
            <x14:dataBar minLength="0" maxLength="100" gradient="0">
              <x14:cfvo type="num">
                <xm:f>0</xm:f>
              </x14:cfvo>
              <x14:cfvo type="num">
                <xm:f>1</xm:f>
              </x14:cfvo>
              <x14:negativeFillColor rgb="FFFF0000"/>
              <x14:axisColor rgb="FF000000"/>
            </x14:dataBar>
          </x14:cfRule>
          <xm:sqref>C33:C35 H33:J35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64"/>
  <sheetViews>
    <sheetView zoomScaleNormal="100" workbookViewId="0"/>
  </sheetViews>
  <sheetFormatPr defaultRowHeight="15.65" customHeight="1" x14ac:dyDescent="0.35"/>
  <cols>
    <col min="1" max="1" width="45.453125" customWidth="1"/>
    <col min="2" max="2" width="17.453125" customWidth="1"/>
    <col min="3" max="3" width="21.1796875" customWidth="1"/>
    <col min="4" max="4" width="17.453125" customWidth="1"/>
    <col min="5" max="5" width="17.453125" style="11" customWidth="1"/>
    <col min="6" max="6" width="21.1796875" bestFit="1" customWidth="1"/>
    <col min="7" max="7" width="19.81640625" bestFit="1" customWidth="1"/>
    <col min="8" max="8" width="20.54296875" customWidth="1"/>
    <col min="9" max="9" width="27" customWidth="1"/>
    <col min="10" max="11" width="17.453125" customWidth="1"/>
    <col min="12" max="13" width="12.26953125" customWidth="1"/>
  </cols>
  <sheetData>
    <row r="1" spans="1:21" ht="22.5" customHeight="1" x14ac:dyDescent="0.5">
      <c r="A1" s="19" t="s">
        <v>320</v>
      </c>
      <c r="B1" s="19"/>
      <c r="C1" s="19"/>
      <c r="D1" s="19"/>
      <c r="E1" s="19"/>
      <c r="F1" s="19"/>
      <c r="G1" s="19"/>
      <c r="H1" s="19"/>
      <c r="I1" s="19"/>
    </row>
    <row r="2" spans="1:21" ht="15.65" customHeight="1" x14ac:dyDescent="0.35">
      <c r="A2" s="42" t="s">
        <v>205</v>
      </c>
      <c r="B2" s="24"/>
      <c r="C2" s="24"/>
      <c r="D2" s="24"/>
      <c r="E2" s="24"/>
      <c r="F2" s="24"/>
      <c r="G2" s="24"/>
      <c r="H2" s="24"/>
      <c r="I2" s="24"/>
    </row>
    <row r="3" spans="1:21" s="11" customFormat="1" ht="15.65" customHeight="1" x14ac:dyDescent="0.35">
      <c r="A3" s="88" t="s">
        <v>345</v>
      </c>
      <c r="B3" s="24"/>
      <c r="C3" s="24"/>
      <c r="D3" s="24"/>
      <c r="E3" s="24"/>
      <c r="F3" s="24"/>
      <c r="G3" s="24"/>
      <c r="H3" s="24"/>
      <c r="I3" s="24"/>
    </row>
    <row r="4" spans="1:21" s="11" customFormat="1" ht="15.65" customHeight="1" x14ac:dyDescent="0.35">
      <c r="A4" s="88" t="s">
        <v>346</v>
      </c>
      <c r="B4" s="24"/>
      <c r="C4" s="24"/>
      <c r="D4" s="24"/>
      <c r="E4" s="24"/>
      <c r="F4" s="24"/>
      <c r="G4" s="24"/>
      <c r="H4" s="24"/>
      <c r="I4" s="24"/>
    </row>
    <row r="5" spans="1:21" ht="15.65" customHeight="1" x14ac:dyDescent="0.35">
      <c r="A5" s="15" t="s">
        <v>348</v>
      </c>
      <c r="B5" s="15"/>
      <c r="C5" s="15"/>
      <c r="D5" s="15"/>
      <c r="E5" s="15"/>
      <c r="F5" s="15"/>
      <c r="G5" s="15"/>
      <c r="H5" s="15"/>
      <c r="I5" s="15"/>
    </row>
    <row r="6" spans="1:21" ht="75" customHeight="1" x14ac:dyDescent="0.35">
      <c r="A6" s="116" t="s">
        <v>208</v>
      </c>
      <c r="B6" s="117" t="s">
        <v>5</v>
      </c>
      <c r="C6" s="117" t="s">
        <v>13</v>
      </c>
      <c r="D6" s="118" t="s">
        <v>226</v>
      </c>
      <c r="E6" s="118" t="s">
        <v>227</v>
      </c>
      <c r="F6" s="117" t="s">
        <v>188</v>
      </c>
      <c r="G6" s="118" t="s">
        <v>266</v>
      </c>
      <c r="H6" s="117" t="s">
        <v>267</v>
      </c>
    </row>
    <row r="7" spans="1:21" ht="15.65" customHeight="1" x14ac:dyDescent="0.35">
      <c r="A7" s="46" t="s">
        <v>5</v>
      </c>
      <c r="B7" s="54">
        <v>19075</v>
      </c>
      <c r="C7" s="54">
        <v>10430</v>
      </c>
      <c r="D7" s="54">
        <v>990</v>
      </c>
      <c r="E7" s="54">
        <v>7655</v>
      </c>
      <c r="F7" s="81">
        <v>0.55000000000000004</v>
      </c>
      <c r="G7" s="70">
        <v>0.05</v>
      </c>
      <c r="H7" s="70">
        <v>0.4</v>
      </c>
      <c r="O7" s="208"/>
      <c r="P7" s="208"/>
      <c r="Q7" s="208"/>
      <c r="R7" s="208"/>
      <c r="S7" s="208"/>
      <c r="T7" s="208"/>
      <c r="U7" s="208"/>
    </row>
    <row r="8" spans="1:21" ht="15.65" customHeight="1" x14ac:dyDescent="0.35">
      <c r="A8" s="22" t="s">
        <v>155</v>
      </c>
      <c r="B8" s="52">
        <v>290</v>
      </c>
      <c r="C8" s="52">
        <v>100</v>
      </c>
      <c r="D8" s="52">
        <v>15</v>
      </c>
      <c r="E8" s="52">
        <v>175</v>
      </c>
      <c r="F8" s="47">
        <v>0.35</v>
      </c>
      <c r="G8" s="38">
        <v>0.05</v>
      </c>
      <c r="H8" s="38">
        <v>0.6</v>
      </c>
      <c r="O8" s="208"/>
      <c r="P8" s="208"/>
      <c r="Q8" s="208"/>
      <c r="R8" s="208"/>
      <c r="S8" s="208"/>
      <c r="T8" s="208"/>
      <c r="U8" s="208"/>
    </row>
    <row r="9" spans="1:21" ht="15.65" customHeight="1" x14ac:dyDescent="0.35">
      <c r="A9" s="22" t="s">
        <v>156</v>
      </c>
      <c r="B9" s="52">
        <v>655</v>
      </c>
      <c r="C9" s="52">
        <v>215</v>
      </c>
      <c r="D9" s="52">
        <v>40</v>
      </c>
      <c r="E9" s="52">
        <v>400</v>
      </c>
      <c r="F9" s="47">
        <v>0.33</v>
      </c>
      <c r="G9" s="38">
        <v>0.06</v>
      </c>
      <c r="H9" s="38">
        <v>0.61</v>
      </c>
      <c r="O9" s="208"/>
      <c r="P9" s="208"/>
      <c r="Q9" s="208"/>
      <c r="R9" s="208"/>
      <c r="S9" s="208"/>
      <c r="T9" s="208"/>
      <c r="U9" s="208"/>
    </row>
    <row r="10" spans="1:21" ht="15.65" customHeight="1" x14ac:dyDescent="0.35">
      <c r="A10" s="22" t="s">
        <v>157</v>
      </c>
      <c r="B10" s="52">
        <v>560</v>
      </c>
      <c r="C10" s="52">
        <v>210</v>
      </c>
      <c r="D10" s="52">
        <v>30</v>
      </c>
      <c r="E10" s="52">
        <v>315</v>
      </c>
      <c r="F10" s="47">
        <v>0.38</v>
      </c>
      <c r="G10" s="38">
        <v>0.06</v>
      </c>
      <c r="H10" s="38">
        <v>0.56000000000000005</v>
      </c>
      <c r="O10" s="208"/>
      <c r="P10" s="208"/>
      <c r="Q10" s="208"/>
      <c r="R10" s="208"/>
      <c r="S10" s="208"/>
      <c r="T10" s="208"/>
      <c r="U10" s="208"/>
    </row>
    <row r="11" spans="1:21" ht="15.65" customHeight="1" x14ac:dyDescent="0.35">
      <c r="A11" s="22" t="s">
        <v>158</v>
      </c>
      <c r="B11" s="52">
        <v>545</v>
      </c>
      <c r="C11" s="52">
        <v>205</v>
      </c>
      <c r="D11" s="52">
        <v>35</v>
      </c>
      <c r="E11" s="52">
        <v>305</v>
      </c>
      <c r="F11" s="47">
        <v>0.37</v>
      </c>
      <c r="G11" s="38">
        <v>7.0000000000000007E-2</v>
      </c>
      <c r="H11" s="38">
        <v>0.56000000000000005</v>
      </c>
      <c r="O11" s="208"/>
      <c r="P11" s="208"/>
      <c r="Q11" s="208"/>
      <c r="R11" s="208"/>
      <c r="S11" s="208"/>
      <c r="T11" s="208"/>
      <c r="U11" s="208"/>
    </row>
    <row r="12" spans="1:21" ht="15.65" customHeight="1" x14ac:dyDescent="0.35">
      <c r="A12" s="41" t="s">
        <v>159</v>
      </c>
      <c r="B12" s="52">
        <v>685</v>
      </c>
      <c r="C12" s="52">
        <v>275</v>
      </c>
      <c r="D12" s="52">
        <v>45</v>
      </c>
      <c r="E12" s="52">
        <v>360</v>
      </c>
      <c r="F12" s="47">
        <v>0.4</v>
      </c>
      <c r="G12" s="38">
        <v>7.0000000000000007E-2</v>
      </c>
      <c r="H12" s="38">
        <v>0.53</v>
      </c>
      <c r="O12" s="208"/>
      <c r="P12" s="208"/>
      <c r="Q12" s="208"/>
      <c r="R12" s="208"/>
      <c r="S12" s="208"/>
      <c r="T12" s="208"/>
      <c r="U12" s="208"/>
    </row>
    <row r="13" spans="1:21" ht="15.65" customHeight="1" x14ac:dyDescent="0.35">
      <c r="A13" s="41" t="s">
        <v>153</v>
      </c>
      <c r="B13" s="52">
        <v>610</v>
      </c>
      <c r="C13" s="52">
        <v>250</v>
      </c>
      <c r="D13" s="52">
        <v>45</v>
      </c>
      <c r="E13" s="52">
        <v>315</v>
      </c>
      <c r="F13" s="47">
        <v>0.41</v>
      </c>
      <c r="G13" s="38">
        <v>7.0000000000000007E-2</v>
      </c>
      <c r="H13" s="38">
        <v>0.52</v>
      </c>
      <c r="O13" s="208"/>
      <c r="P13" s="208"/>
      <c r="Q13" s="208"/>
      <c r="R13" s="208"/>
      <c r="S13" s="208"/>
      <c r="T13" s="208"/>
      <c r="U13" s="208"/>
    </row>
    <row r="14" spans="1:21" ht="15.65" customHeight="1" x14ac:dyDescent="0.35">
      <c r="A14" s="41" t="s">
        <v>160</v>
      </c>
      <c r="B14" s="52">
        <v>630</v>
      </c>
      <c r="C14" s="52">
        <v>295</v>
      </c>
      <c r="D14" s="52">
        <v>55</v>
      </c>
      <c r="E14" s="52">
        <v>280</v>
      </c>
      <c r="F14" s="47">
        <v>0.47</v>
      </c>
      <c r="G14" s="38">
        <v>0.09</v>
      </c>
      <c r="H14" s="38">
        <v>0.44</v>
      </c>
      <c r="O14" s="208"/>
      <c r="P14" s="208"/>
      <c r="Q14" s="208"/>
      <c r="R14" s="208"/>
      <c r="S14" s="208"/>
      <c r="T14" s="208"/>
      <c r="U14" s="208"/>
    </row>
    <row r="15" spans="1:21" ht="15.65" customHeight="1" x14ac:dyDescent="0.35">
      <c r="A15" s="41" t="s">
        <v>161</v>
      </c>
      <c r="B15" s="52">
        <v>680</v>
      </c>
      <c r="C15" s="52">
        <v>590</v>
      </c>
      <c r="D15" s="52">
        <v>35</v>
      </c>
      <c r="E15" s="52">
        <v>50</v>
      </c>
      <c r="F15" s="47">
        <v>0.87</v>
      </c>
      <c r="G15" s="38">
        <v>0.05</v>
      </c>
      <c r="H15" s="38">
        <v>0.08</v>
      </c>
      <c r="O15" s="208"/>
      <c r="P15" s="208"/>
      <c r="Q15" s="208"/>
      <c r="R15" s="208"/>
      <c r="S15" s="208"/>
      <c r="T15" s="208"/>
      <c r="U15" s="208"/>
    </row>
    <row r="16" spans="1:21" ht="15.65" customHeight="1" x14ac:dyDescent="0.35">
      <c r="A16" s="41" t="s">
        <v>162</v>
      </c>
      <c r="B16" s="52">
        <v>685</v>
      </c>
      <c r="C16" s="52">
        <v>580</v>
      </c>
      <c r="D16" s="52">
        <v>55</v>
      </c>
      <c r="E16" s="52">
        <v>50</v>
      </c>
      <c r="F16" s="47">
        <v>0.85</v>
      </c>
      <c r="G16" s="38">
        <v>0.08</v>
      </c>
      <c r="H16" s="38">
        <v>7.0000000000000007E-2</v>
      </c>
      <c r="O16" s="208"/>
      <c r="P16" s="208"/>
      <c r="Q16" s="208"/>
      <c r="R16" s="208"/>
      <c r="S16" s="208"/>
      <c r="T16" s="208"/>
      <c r="U16" s="208"/>
    </row>
    <row r="17" spans="1:21" ht="15.65" customHeight="1" x14ac:dyDescent="0.35">
      <c r="A17" s="41" t="s">
        <v>163</v>
      </c>
      <c r="B17" s="52">
        <v>785</v>
      </c>
      <c r="C17" s="52">
        <v>610</v>
      </c>
      <c r="D17" s="52">
        <v>95</v>
      </c>
      <c r="E17" s="52">
        <v>80</v>
      </c>
      <c r="F17" s="47">
        <v>0.78</v>
      </c>
      <c r="G17" s="38">
        <v>0.12</v>
      </c>
      <c r="H17" s="38">
        <v>0.1</v>
      </c>
      <c r="O17" s="208"/>
      <c r="P17" s="208"/>
      <c r="Q17" s="208"/>
      <c r="R17" s="208"/>
      <c r="S17" s="208"/>
      <c r="T17" s="208"/>
      <c r="U17" s="208"/>
    </row>
    <row r="18" spans="1:21" ht="15.65" customHeight="1" x14ac:dyDescent="0.35">
      <c r="A18" s="41" t="s">
        <v>164</v>
      </c>
      <c r="B18" s="52">
        <v>740</v>
      </c>
      <c r="C18" s="52">
        <v>430</v>
      </c>
      <c r="D18" s="52">
        <v>90</v>
      </c>
      <c r="E18" s="52">
        <v>225</v>
      </c>
      <c r="F18" s="47">
        <v>0.57999999999999996</v>
      </c>
      <c r="G18" s="38">
        <v>0.12</v>
      </c>
      <c r="H18" s="38">
        <v>0.3</v>
      </c>
      <c r="O18" s="208"/>
      <c r="P18" s="208"/>
      <c r="Q18" s="208"/>
      <c r="R18" s="208"/>
      <c r="S18" s="208"/>
      <c r="T18" s="208"/>
      <c r="U18" s="208"/>
    </row>
    <row r="19" spans="1:21" ht="15.65" customHeight="1" x14ac:dyDescent="0.35">
      <c r="A19" s="41" t="s">
        <v>165</v>
      </c>
      <c r="B19" s="52">
        <v>640</v>
      </c>
      <c r="C19" s="52">
        <v>370</v>
      </c>
      <c r="D19" s="52">
        <v>30</v>
      </c>
      <c r="E19" s="52">
        <v>235</v>
      </c>
      <c r="F19" s="47">
        <v>0.57999999999999996</v>
      </c>
      <c r="G19" s="38">
        <v>0.05</v>
      </c>
      <c r="H19" s="38">
        <v>0.37</v>
      </c>
      <c r="O19" s="208"/>
      <c r="P19" s="208"/>
      <c r="Q19" s="208"/>
      <c r="R19" s="208"/>
      <c r="S19" s="208"/>
      <c r="T19" s="208"/>
      <c r="U19" s="208"/>
    </row>
    <row r="20" spans="1:21" ht="15.65" customHeight="1" x14ac:dyDescent="0.35">
      <c r="A20" s="41" t="s">
        <v>166</v>
      </c>
      <c r="B20" s="52">
        <v>620</v>
      </c>
      <c r="C20" s="52">
        <v>325</v>
      </c>
      <c r="D20" s="52">
        <v>30</v>
      </c>
      <c r="E20" s="52">
        <v>265</v>
      </c>
      <c r="F20" s="47">
        <v>0.52</v>
      </c>
      <c r="G20" s="38">
        <v>0.05</v>
      </c>
      <c r="H20" s="38">
        <v>0.43</v>
      </c>
      <c r="O20" s="208"/>
      <c r="P20" s="208"/>
      <c r="Q20" s="208"/>
      <c r="R20" s="208"/>
      <c r="S20" s="208"/>
      <c r="T20" s="208"/>
      <c r="U20" s="208"/>
    </row>
    <row r="21" spans="1:21" ht="15.65" customHeight="1" x14ac:dyDescent="0.35">
      <c r="A21" s="41" t="s">
        <v>167</v>
      </c>
      <c r="B21" s="52">
        <v>680</v>
      </c>
      <c r="C21" s="52">
        <v>350</v>
      </c>
      <c r="D21" s="52">
        <v>35</v>
      </c>
      <c r="E21" s="52">
        <v>295</v>
      </c>
      <c r="F21" s="47">
        <v>0.51</v>
      </c>
      <c r="G21" s="38">
        <v>0.05</v>
      </c>
      <c r="H21" s="38">
        <v>0.43</v>
      </c>
      <c r="O21" s="208"/>
      <c r="P21" s="208"/>
      <c r="Q21" s="208"/>
      <c r="R21" s="208"/>
      <c r="S21" s="208"/>
      <c r="T21" s="208"/>
      <c r="U21" s="208"/>
    </row>
    <row r="22" spans="1:21" ht="15.65" customHeight="1" x14ac:dyDescent="0.35">
      <c r="A22" s="41" t="s">
        <v>168</v>
      </c>
      <c r="B22" s="52">
        <v>765</v>
      </c>
      <c r="C22" s="52">
        <v>420</v>
      </c>
      <c r="D22" s="52">
        <v>30</v>
      </c>
      <c r="E22" s="52">
        <v>320</v>
      </c>
      <c r="F22" s="47">
        <v>0.54</v>
      </c>
      <c r="G22" s="38">
        <v>0.04</v>
      </c>
      <c r="H22" s="38">
        <v>0.42</v>
      </c>
      <c r="O22" s="208"/>
      <c r="P22" s="208"/>
      <c r="Q22" s="208"/>
      <c r="R22" s="208"/>
      <c r="S22" s="208"/>
      <c r="T22" s="208"/>
      <c r="U22" s="208"/>
    </row>
    <row r="23" spans="1:21" ht="15.65" customHeight="1" x14ac:dyDescent="0.35">
      <c r="A23" s="41" t="s">
        <v>169</v>
      </c>
      <c r="B23" s="52">
        <v>645</v>
      </c>
      <c r="C23" s="52">
        <v>310</v>
      </c>
      <c r="D23" s="52">
        <v>15</v>
      </c>
      <c r="E23" s="52">
        <v>325</v>
      </c>
      <c r="F23" s="47">
        <v>0.48</v>
      </c>
      <c r="G23" s="38">
        <v>0.02</v>
      </c>
      <c r="H23" s="38">
        <v>0.5</v>
      </c>
      <c r="O23" s="208"/>
      <c r="P23" s="208"/>
      <c r="Q23" s="208"/>
      <c r="R23" s="208"/>
      <c r="S23" s="208"/>
      <c r="T23" s="208"/>
      <c r="U23" s="208"/>
    </row>
    <row r="24" spans="1:21" ht="15.65" customHeight="1" x14ac:dyDescent="0.35">
      <c r="A24" s="41" t="s">
        <v>170</v>
      </c>
      <c r="B24" s="52">
        <v>830</v>
      </c>
      <c r="C24" s="52">
        <v>460</v>
      </c>
      <c r="D24" s="52">
        <v>30</v>
      </c>
      <c r="E24" s="52">
        <v>340</v>
      </c>
      <c r="F24" s="47">
        <v>0.56000000000000005</v>
      </c>
      <c r="G24" s="38">
        <v>0.04</v>
      </c>
      <c r="H24" s="38">
        <v>0.41</v>
      </c>
      <c r="O24" s="208"/>
      <c r="P24" s="208"/>
      <c r="Q24" s="208"/>
      <c r="R24" s="208"/>
      <c r="S24" s="208"/>
      <c r="T24" s="208"/>
      <c r="U24" s="208"/>
    </row>
    <row r="25" spans="1:21" ht="15.65" customHeight="1" x14ac:dyDescent="0.35">
      <c r="A25" s="41" t="s">
        <v>154</v>
      </c>
      <c r="B25" s="52">
        <v>810</v>
      </c>
      <c r="C25" s="52">
        <v>450</v>
      </c>
      <c r="D25" s="52">
        <v>25</v>
      </c>
      <c r="E25" s="52">
        <v>330</v>
      </c>
      <c r="F25" s="47">
        <v>0.56000000000000005</v>
      </c>
      <c r="G25" s="38">
        <v>0.03</v>
      </c>
      <c r="H25" s="38">
        <v>0.41</v>
      </c>
      <c r="O25" s="208"/>
      <c r="P25" s="208"/>
      <c r="Q25" s="208"/>
      <c r="R25" s="208"/>
      <c r="S25" s="208"/>
      <c r="T25" s="208"/>
      <c r="U25" s="208"/>
    </row>
    <row r="26" spans="1:21" ht="15.65" customHeight="1" x14ac:dyDescent="0.35">
      <c r="A26" s="41" t="s">
        <v>171</v>
      </c>
      <c r="B26" s="52">
        <v>805</v>
      </c>
      <c r="C26" s="52">
        <v>455</v>
      </c>
      <c r="D26" s="52">
        <v>25</v>
      </c>
      <c r="E26" s="52">
        <v>330</v>
      </c>
      <c r="F26" s="47">
        <v>0.56000000000000005</v>
      </c>
      <c r="G26" s="38">
        <v>0.03</v>
      </c>
      <c r="H26" s="38">
        <v>0.41</v>
      </c>
      <c r="O26" s="208"/>
      <c r="P26" s="208"/>
      <c r="Q26" s="208"/>
      <c r="R26" s="208"/>
      <c r="S26" s="208"/>
      <c r="T26" s="208"/>
      <c r="U26" s="208"/>
    </row>
    <row r="27" spans="1:21" ht="15.65" customHeight="1" x14ac:dyDescent="0.35">
      <c r="A27" s="41" t="s">
        <v>172</v>
      </c>
      <c r="B27" s="52">
        <v>670</v>
      </c>
      <c r="C27" s="52">
        <v>385</v>
      </c>
      <c r="D27" s="52">
        <v>35</v>
      </c>
      <c r="E27" s="52">
        <v>250</v>
      </c>
      <c r="F27" s="47">
        <v>0.57999999999999996</v>
      </c>
      <c r="G27" s="38">
        <v>0.05</v>
      </c>
      <c r="H27" s="38">
        <v>0.37</v>
      </c>
      <c r="O27" s="208"/>
      <c r="P27" s="208"/>
      <c r="Q27" s="208"/>
      <c r="R27" s="208"/>
      <c r="S27" s="208"/>
      <c r="T27" s="208"/>
      <c r="U27" s="208"/>
    </row>
    <row r="28" spans="1:21" ht="15.65" customHeight="1" x14ac:dyDescent="0.35">
      <c r="A28" s="43" t="s">
        <v>173</v>
      </c>
      <c r="B28" s="52">
        <v>625</v>
      </c>
      <c r="C28" s="52">
        <v>360</v>
      </c>
      <c r="D28" s="52">
        <v>30</v>
      </c>
      <c r="E28" s="52">
        <v>235</v>
      </c>
      <c r="F28" s="47">
        <v>0.56999999999999995</v>
      </c>
      <c r="G28" s="38">
        <v>0.05</v>
      </c>
      <c r="H28" s="38">
        <v>0.38</v>
      </c>
      <c r="O28" s="208"/>
      <c r="P28" s="208"/>
      <c r="Q28" s="208"/>
      <c r="R28" s="208"/>
      <c r="S28" s="208"/>
      <c r="T28" s="208"/>
      <c r="U28" s="208"/>
    </row>
    <row r="29" spans="1:21" ht="15.65" customHeight="1" x14ac:dyDescent="0.35">
      <c r="A29" s="80" t="s">
        <v>223</v>
      </c>
      <c r="B29" s="52">
        <v>740</v>
      </c>
      <c r="C29" s="52">
        <v>395</v>
      </c>
      <c r="D29" s="52">
        <v>25</v>
      </c>
      <c r="E29" s="52">
        <v>325</v>
      </c>
      <c r="F29" s="47">
        <v>0.53</v>
      </c>
      <c r="G29" s="38">
        <v>0.03</v>
      </c>
      <c r="H29" s="38">
        <v>0.44</v>
      </c>
      <c r="O29" s="208"/>
      <c r="P29" s="208"/>
      <c r="Q29" s="208"/>
      <c r="R29" s="208"/>
      <c r="S29" s="208"/>
      <c r="T29" s="208"/>
      <c r="U29" s="208"/>
    </row>
    <row r="30" spans="1:21" ht="15.65" customHeight="1" x14ac:dyDescent="0.35">
      <c r="A30" s="200" t="s">
        <v>334</v>
      </c>
      <c r="B30" s="52">
        <v>665</v>
      </c>
      <c r="C30" s="52">
        <v>340</v>
      </c>
      <c r="D30" s="52">
        <v>30</v>
      </c>
      <c r="E30" s="52">
        <v>290</v>
      </c>
      <c r="F30" s="47">
        <v>0.51</v>
      </c>
      <c r="G30" s="38">
        <v>0.05</v>
      </c>
      <c r="H30" s="38">
        <v>0.44</v>
      </c>
      <c r="I30" s="39"/>
      <c r="O30" s="208"/>
      <c r="P30" s="208"/>
      <c r="Q30" s="208"/>
      <c r="R30" s="208"/>
      <c r="S30" s="208"/>
      <c r="T30" s="208"/>
      <c r="U30" s="208"/>
    </row>
    <row r="31" spans="1:21" ht="15.65" customHeight="1" x14ac:dyDescent="0.35">
      <c r="A31" s="80" t="s">
        <v>335</v>
      </c>
      <c r="B31" s="52">
        <v>675</v>
      </c>
      <c r="C31" s="52">
        <v>365</v>
      </c>
      <c r="D31" s="52">
        <v>30</v>
      </c>
      <c r="E31" s="52">
        <v>285</v>
      </c>
      <c r="F31" s="47">
        <v>0.54</v>
      </c>
      <c r="G31" s="38">
        <v>0.04</v>
      </c>
      <c r="H31" s="38">
        <v>0.42</v>
      </c>
      <c r="I31" s="73"/>
      <c r="O31" s="208"/>
      <c r="P31" s="208"/>
      <c r="Q31" s="208"/>
      <c r="R31" s="208"/>
      <c r="S31" s="208"/>
      <c r="T31" s="208"/>
      <c r="U31" s="208"/>
    </row>
    <row r="32" spans="1:21" ht="14.5" customHeight="1" x14ac:dyDescent="0.35">
      <c r="A32" s="80" t="s">
        <v>336</v>
      </c>
      <c r="B32" s="52">
        <v>735</v>
      </c>
      <c r="C32" s="52">
        <v>410</v>
      </c>
      <c r="D32" s="52">
        <v>10</v>
      </c>
      <c r="E32" s="52">
        <v>315</v>
      </c>
      <c r="F32" s="47">
        <v>0.56000000000000005</v>
      </c>
      <c r="G32" s="38">
        <v>0.02</v>
      </c>
      <c r="H32" s="38">
        <v>0.43</v>
      </c>
      <c r="I32" s="11"/>
      <c r="O32" s="208"/>
      <c r="P32" s="208"/>
      <c r="Q32" s="208"/>
      <c r="R32" s="208"/>
      <c r="S32" s="208"/>
      <c r="T32" s="208"/>
      <c r="U32" s="208"/>
    </row>
    <row r="33" spans="1:9" ht="15.65" customHeight="1" x14ac:dyDescent="0.35">
      <c r="A33" s="195" t="s">
        <v>366</v>
      </c>
      <c r="B33" s="52">
        <v>775</v>
      </c>
      <c r="C33" s="52">
        <v>435</v>
      </c>
      <c r="D33" s="52">
        <v>35</v>
      </c>
      <c r="E33" s="119">
        <v>305</v>
      </c>
      <c r="F33" s="47">
        <v>0.56000000000000005</v>
      </c>
      <c r="G33" s="38">
        <v>0.05</v>
      </c>
      <c r="H33" s="38">
        <v>0.39</v>
      </c>
      <c r="I33" s="11"/>
    </row>
    <row r="34" spans="1:9" ht="15.65" customHeight="1" x14ac:dyDescent="0.35">
      <c r="A34" s="195" t="s">
        <v>367</v>
      </c>
      <c r="B34" s="52">
        <v>815</v>
      </c>
      <c r="C34" s="52">
        <v>430</v>
      </c>
      <c r="D34" s="52">
        <v>20</v>
      </c>
      <c r="E34" s="119">
        <v>360</v>
      </c>
      <c r="F34" s="47">
        <v>0.53</v>
      </c>
      <c r="G34" s="38">
        <v>0.03</v>
      </c>
      <c r="H34" s="38">
        <v>0.44</v>
      </c>
      <c r="I34" s="11"/>
    </row>
    <row r="35" spans="1:9" ht="15.65" customHeight="1" x14ac:dyDescent="0.35">
      <c r="A35" s="270" t="s">
        <v>368</v>
      </c>
      <c r="B35" s="52">
        <v>710</v>
      </c>
      <c r="C35" s="52">
        <v>410</v>
      </c>
      <c r="D35" s="52">
        <v>10</v>
      </c>
      <c r="E35" s="119">
        <v>290</v>
      </c>
      <c r="F35" s="47">
        <v>0.57999999999999996</v>
      </c>
      <c r="G35" s="38">
        <v>0.01</v>
      </c>
      <c r="H35" s="38">
        <v>0.41</v>
      </c>
      <c r="I35" s="11"/>
    </row>
    <row r="36" spans="1:9" ht="15.65" customHeight="1" x14ac:dyDescent="0.35">
      <c r="A36" s="64" t="s">
        <v>7</v>
      </c>
      <c r="B36" s="62"/>
      <c r="C36" s="62"/>
      <c r="D36" s="39"/>
      <c r="E36" s="39"/>
      <c r="F36" s="39"/>
      <c r="G36" s="39"/>
      <c r="H36" s="39"/>
      <c r="I36" s="4"/>
    </row>
    <row r="37" spans="1:9" ht="15.65" customHeight="1" x14ac:dyDescent="0.35">
      <c r="A37" s="28" t="s">
        <v>360</v>
      </c>
      <c r="B37" s="63"/>
      <c r="C37" s="63"/>
      <c r="D37" s="63"/>
      <c r="E37" s="63"/>
      <c r="F37" s="63"/>
      <c r="G37" s="63"/>
      <c r="H37" s="72"/>
      <c r="I37" s="4"/>
    </row>
    <row r="38" spans="1:9" ht="109.5" customHeight="1" x14ac:dyDescent="0.35">
      <c r="A38" s="27" t="s">
        <v>225</v>
      </c>
      <c r="B38" s="28"/>
      <c r="C38" s="28"/>
      <c r="D38" s="28"/>
      <c r="E38" s="28"/>
      <c r="F38" s="28"/>
      <c r="G38" s="28"/>
      <c r="H38" s="28"/>
      <c r="I38" s="4"/>
    </row>
    <row r="39" spans="1:9" ht="15.65" customHeight="1" x14ac:dyDescent="0.35">
      <c r="A39" s="28"/>
      <c r="B39" s="27"/>
      <c r="C39" s="27"/>
      <c r="D39" s="27"/>
      <c r="E39" s="27"/>
      <c r="F39" s="27"/>
      <c r="G39" s="27"/>
      <c r="H39" s="27"/>
      <c r="I39" s="4"/>
    </row>
    <row r="40" spans="1:9" ht="15.65" customHeight="1" x14ac:dyDescent="0.35">
      <c r="A40" s="28"/>
      <c r="B40" s="27"/>
      <c r="C40" s="27"/>
      <c r="D40" s="27"/>
      <c r="E40" s="27"/>
      <c r="F40" s="27"/>
      <c r="G40" s="27"/>
      <c r="H40" s="27"/>
      <c r="I40" s="4"/>
    </row>
    <row r="41" spans="1:9" ht="15.65" customHeight="1" x14ac:dyDescent="0.35">
      <c r="A41" s="28"/>
      <c r="B41" s="27"/>
      <c r="C41" s="27"/>
      <c r="D41" s="27"/>
      <c r="E41" s="27"/>
      <c r="F41" s="27"/>
      <c r="G41" s="27"/>
      <c r="H41" s="27"/>
      <c r="I41" s="4"/>
    </row>
    <row r="42" spans="1:9" ht="15.65" customHeight="1" x14ac:dyDescent="0.35">
      <c r="A42" s="28"/>
      <c r="B42" s="4"/>
      <c r="C42" s="4"/>
      <c r="D42" s="4"/>
      <c r="E42" s="4"/>
      <c r="F42" s="27"/>
      <c r="G42" s="4"/>
      <c r="H42" s="4"/>
      <c r="I42" s="4"/>
    </row>
    <row r="43" spans="1:9" ht="15.65" customHeight="1" x14ac:dyDescent="0.35">
      <c r="A43" s="28"/>
      <c r="B43" s="4"/>
      <c r="C43" s="4"/>
      <c r="D43" s="4"/>
      <c r="E43" s="4"/>
      <c r="F43" s="27"/>
      <c r="G43" s="4"/>
      <c r="H43" s="4"/>
      <c r="I43" s="4"/>
    </row>
    <row r="44" spans="1:9" ht="15.65" customHeight="1" x14ac:dyDescent="0.35">
      <c r="A44" s="28"/>
      <c r="B44" s="4"/>
      <c r="C44" s="4"/>
      <c r="D44" s="4"/>
      <c r="E44" s="4"/>
      <c r="F44" s="28"/>
      <c r="G44" s="4"/>
      <c r="H44" s="4"/>
      <c r="I44" s="4"/>
    </row>
    <row r="45" spans="1:9" ht="15.65" customHeight="1" x14ac:dyDescent="0.35">
      <c r="A45" s="28"/>
      <c r="B45" s="4"/>
      <c r="C45" s="4"/>
      <c r="D45" s="4"/>
      <c r="E45" s="4"/>
      <c r="F45" s="28"/>
      <c r="G45" s="4"/>
      <c r="H45" s="4"/>
      <c r="I45" s="4"/>
    </row>
    <row r="46" spans="1:9" ht="15.65" customHeight="1" x14ac:dyDescent="0.35">
      <c r="A46" s="29"/>
      <c r="B46" s="4"/>
      <c r="C46" s="4"/>
      <c r="D46" s="4"/>
      <c r="E46" s="4"/>
      <c r="F46" s="29"/>
      <c r="G46" s="4"/>
      <c r="H46" s="4"/>
      <c r="I46" s="4"/>
    </row>
    <row r="47" spans="1:9" ht="15.65" customHeight="1" x14ac:dyDescent="0.35">
      <c r="A47" s="29"/>
      <c r="B47" s="4"/>
      <c r="C47" s="4"/>
      <c r="D47" s="4"/>
      <c r="E47" s="4"/>
      <c r="F47" s="29"/>
      <c r="G47" s="4"/>
      <c r="H47" s="4"/>
      <c r="I47" s="4"/>
    </row>
    <row r="48" spans="1:9" ht="15.65" customHeight="1" x14ac:dyDescent="0.35">
      <c r="A48" s="11"/>
      <c r="B48" s="4"/>
      <c r="C48" s="4"/>
      <c r="D48" s="4"/>
      <c r="E48" s="4"/>
      <c r="F48" s="11"/>
      <c r="G48" s="4"/>
      <c r="H48" s="4"/>
      <c r="I48" s="4"/>
    </row>
    <row r="49" spans="2:9" ht="15.65" customHeight="1" x14ac:dyDescent="0.35">
      <c r="B49" s="4"/>
      <c r="C49" s="4"/>
      <c r="D49" s="4"/>
      <c r="E49" s="4"/>
      <c r="G49" s="4"/>
      <c r="H49" s="4"/>
      <c r="I49" s="4"/>
    </row>
    <row r="50" spans="2:9" ht="15.65" customHeight="1" x14ac:dyDescent="0.35">
      <c r="B50" s="4"/>
      <c r="C50" s="4"/>
      <c r="D50" s="4"/>
      <c r="E50" s="4"/>
      <c r="G50" s="4"/>
      <c r="H50" s="4"/>
      <c r="I50" s="4"/>
    </row>
    <row r="51" spans="2:9" ht="15.65" customHeight="1" x14ac:dyDescent="0.35">
      <c r="B51" s="4"/>
      <c r="C51" s="4"/>
      <c r="D51" s="4"/>
      <c r="E51" s="4"/>
      <c r="G51" s="4"/>
      <c r="H51" s="4"/>
      <c r="I51" s="4"/>
    </row>
    <row r="52" spans="2:9" ht="15.65" customHeight="1" x14ac:dyDescent="0.35">
      <c r="B52" s="4"/>
      <c r="C52" s="4"/>
      <c r="D52" s="4"/>
      <c r="E52" s="4"/>
      <c r="G52" s="4"/>
      <c r="H52" s="4"/>
      <c r="I52" s="4"/>
    </row>
    <row r="53" spans="2:9" ht="15.65" customHeight="1" x14ac:dyDescent="0.35">
      <c r="B53" s="4"/>
      <c r="C53" s="4"/>
      <c r="D53" s="4"/>
      <c r="E53" s="4"/>
      <c r="G53" s="4"/>
      <c r="H53" s="4"/>
      <c r="I53" s="4"/>
    </row>
    <row r="54" spans="2:9" ht="15.65" customHeight="1" x14ac:dyDescent="0.35">
      <c r="B54" s="4"/>
      <c r="C54" s="4"/>
      <c r="D54" s="4"/>
      <c r="E54" s="4"/>
      <c r="G54" s="4"/>
      <c r="H54" s="4"/>
      <c r="I54" s="4"/>
    </row>
    <row r="55" spans="2:9" ht="15.65" customHeight="1" x14ac:dyDescent="0.35">
      <c r="B55" s="4"/>
      <c r="C55" s="4"/>
      <c r="D55" s="4"/>
      <c r="E55" s="4"/>
      <c r="G55" s="4"/>
      <c r="H55" s="4"/>
      <c r="I55" s="4"/>
    </row>
    <row r="56" spans="2:9" ht="15.65" customHeight="1" x14ac:dyDescent="0.35">
      <c r="B56" s="4"/>
      <c r="C56" s="4"/>
      <c r="D56" s="4"/>
      <c r="E56" s="4"/>
      <c r="G56" s="4"/>
      <c r="H56" s="4"/>
      <c r="I56" s="4"/>
    </row>
    <row r="57" spans="2:9" ht="15.65" customHeight="1" x14ac:dyDescent="0.35">
      <c r="B57" s="4"/>
      <c r="C57" s="4"/>
      <c r="D57" s="4"/>
      <c r="E57" s="4"/>
      <c r="G57" s="4"/>
      <c r="H57" s="4"/>
      <c r="I57" s="4"/>
    </row>
    <row r="58" spans="2:9" ht="15.65" customHeight="1" x14ac:dyDescent="0.35">
      <c r="B58" s="4"/>
      <c r="C58" s="4"/>
      <c r="D58" s="4"/>
      <c r="E58" s="4"/>
      <c r="G58" s="4"/>
      <c r="H58" s="4"/>
      <c r="I58" s="4"/>
    </row>
    <row r="59" spans="2:9" ht="15.65" customHeight="1" x14ac:dyDescent="0.35">
      <c r="B59" s="4"/>
      <c r="C59" s="4"/>
      <c r="D59" s="4"/>
      <c r="E59" s="4"/>
      <c r="G59" s="4"/>
      <c r="H59" s="4"/>
    </row>
    <row r="60" spans="2:9" ht="15.65" customHeight="1" x14ac:dyDescent="0.35">
      <c r="B60" s="4"/>
      <c r="C60" s="4"/>
      <c r="D60" s="4"/>
      <c r="E60" s="4"/>
      <c r="G60" s="4"/>
      <c r="H60" s="4"/>
    </row>
    <row r="61" spans="2:9" ht="15.65" customHeight="1" x14ac:dyDescent="0.35">
      <c r="B61" s="4"/>
      <c r="C61" s="4"/>
      <c r="D61" s="4"/>
      <c r="E61" s="4"/>
      <c r="G61" s="4"/>
      <c r="H61" s="4"/>
    </row>
    <row r="62" spans="2:9" ht="15.65" customHeight="1" x14ac:dyDescent="0.35">
      <c r="B62" s="4"/>
      <c r="C62" s="4"/>
      <c r="D62" s="4"/>
      <c r="E62" s="4"/>
      <c r="G62" s="4"/>
      <c r="H62" s="4"/>
    </row>
    <row r="63" spans="2:9" ht="15.65" customHeight="1" x14ac:dyDescent="0.35">
      <c r="B63" s="4"/>
      <c r="C63" s="4"/>
      <c r="D63" s="4"/>
      <c r="E63" s="4"/>
      <c r="G63" s="4"/>
      <c r="H63" s="4"/>
    </row>
    <row r="64" spans="2:9" ht="15.65" customHeight="1" x14ac:dyDescent="0.35">
      <c r="B64" s="4"/>
      <c r="C64" s="4"/>
      <c r="D64" s="4"/>
      <c r="E64" s="4"/>
      <c r="G64" s="4"/>
      <c r="H64" s="4"/>
    </row>
  </sheetData>
  <conditionalFormatting sqref="F7:H26 F30:H31 F33:H35">
    <cfRule type="dataBar" priority="8">
      <dataBar>
        <cfvo type="num" val="0"/>
        <cfvo type="num" val="1"/>
        <color rgb="FFB4A9D4"/>
      </dataBar>
      <extLst>
        <ext xmlns:x14="http://schemas.microsoft.com/office/spreadsheetml/2009/9/main" uri="{B025F937-C7B1-47D3-B67F-A62EFF666E3E}">
          <x14:id>{A1927BAD-A3D5-44E7-8C77-CF70AC82AD4E}</x14:id>
        </ext>
      </extLst>
    </cfRule>
  </conditionalFormatting>
  <conditionalFormatting sqref="F32:G32">
    <cfRule type="dataBar" priority="6">
      <dataBar>
        <cfvo type="num" val="0"/>
        <cfvo type="num" val="1"/>
        <color rgb="FFB4A9D4"/>
      </dataBar>
      <extLst>
        <ext xmlns:x14="http://schemas.microsoft.com/office/spreadsheetml/2009/9/main" uri="{B025F937-C7B1-47D3-B67F-A62EFF666E3E}">
          <x14:id>{3C599C29-E49A-4883-83BD-22EF8DC7483D}</x14:id>
        </ext>
      </extLst>
    </cfRule>
  </conditionalFormatting>
  <conditionalFormatting sqref="H32">
    <cfRule type="dataBar" priority="4">
      <dataBar>
        <cfvo type="num" val="0"/>
        <cfvo type="num" val="1"/>
        <color rgb="FFB4A9D4"/>
      </dataBar>
      <extLst>
        <ext xmlns:x14="http://schemas.microsoft.com/office/spreadsheetml/2009/9/main" uri="{B025F937-C7B1-47D3-B67F-A62EFF666E3E}">
          <x14:id>{73CE6200-1DC0-4AC5-996C-07B4EB879A49}</x14:id>
        </ext>
      </extLst>
    </cfRule>
  </conditionalFormatting>
  <conditionalFormatting sqref="H29">
    <cfRule type="dataBar" priority="1">
      <dataBar>
        <cfvo type="num" val="0"/>
        <cfvo type="num" val="1"/>
        <color rgb="FFB4A9D4"/>
      </dataBar>
      <extLst>
        <ext xmlns:x14="http://schemas.microsoft.com/office/spreadsheetml/2009/9/main" uri="{B025F937-C7B1-47D3-B67F-A62EFF666E3E}">
          <x14:id>{48623686-634B-4BC6-AA5E-000AABFBD469}</x14:id>
        </ext>
      </extLst>
    </cfRule>
  </conditionalFormatting>
  <conditionalFormatting sqref="F27:H28">
    <cfRule type="dataBar" priority="3">
      <dataBar>
        <cfvo type="num" val="0"/>
        <cfvo type="num" val="1"/>
        <color rgb="FFB4A9D4"/>
      </dataBar>
      <extLst>
        <ext xmlns:x14="http://schemas.microsoft.com/office/spreadsheetml/2009/9/main" uri="{B025F937-C7B1-47D3-B67F-A62EFF666E3E}">
          <x14:id>{551487A6-1382-47F0-A9EE-DDBC2DE51E5E}</x14:id>
        </ext>
      </extLst>
    </cfRule>
  </conditionalFormatting>
  <conditionalFormatting sqref="F29:G29">
    <cfRule type="dataBar" priority="2">
      <dataBar>
        <cfvo type="num" val="0"/>
        <cfvo type="num" val="1"/>
        <color rgb="FFB4A9D4"/>
      </dataBar>
      <extLst>
        <ext xmlns:x14="http://schemas.microsoft.com/office/spreadsheetml/2009/9/main" uri="{B025F937-C7B1-47D3-B67F-A62EFF666E3E}">
          <x14:id>{33862E1B-946D-40CD-AE1A-7282C871CC69}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1927BAD-A3D5-44E7-8C77-CF70AC82AD4E}">
            <x14:dataBar minLength="0" maxLength="100" gradient="0">
              <x14:cfvo type="num">
                <xm:f>0</xm:f>
              </x14:cfvo>
              <x14:cfvo type="num">
                <xm:f>1</xm:f>
              </x14:cfvo>
              <x14:negativeFillColor rgb="FFFF0000"/>
              <x14:axisColor rgb="FF000000"/>
            </x14:dataBar>
          </x14:cfRule>
          <xm:sqref>F7:H26 F30:H31 F33:H35</xm:sqref>
        </x14:conditionalFormatting>
        <x14:conditionalFormatting xmlns:xm="http://schemas.microsoft.com/office/excel/2006/main">
          <x14:cfRule type="dataBar" id="{3C599C29-E49A-4883-83BD-22EF8DC7483D}">
            <x14:dataBar minLength="0" maxLength="100" gradient="0">
              <x14:cfvo type="num">
                <xm:f>0</xm:f>
              </x14:cfvo>
              <x14:cfvo type="num">
                <xm:f>1</xm:f>
              </x14:cfvo>
              <x14:negativeFillColor rgb="FFFF0000"/>
              <x14:axisColor rgb="FF000000"/>
            </x14:dataBar>
          </x14:cfRule>
          <xm:sqref>F32:G32</xm:sqref>
        </x14:conditionalFormatting>
        <x14:conditionalFormatting xmlns:xm="http://schemas.microsoft.com/office/excel/2006/main">
          <x14:cfRule type="dataBar" id="{73CE6200-1DC0-4AC5-996C-07B4EB879A49}">
            <x14:dataBar minLength="0" maxLength="100" gradient="0">
              <x14:cfvo type="num">
                <xm:f>0</xm:f>
              </x14:cfvo>
              <x14:cfvo type="num">
                <xm:f>1</xm:f>
              </x14:cfvo>
              <x14:negativeFillColor rgb="FFFF0000"/>
              <x14:axisColor rgb="FF000000"/>
            </x14:dataBar>
          </x14:cfRule>
          <xm:sqref>H32</xm:sqref>
        </x14:conditionalFormatting>
        <x14:conditionalFormatting xmlns:xm="http://schemas.microsoft.com/office/excel/2006/main">
          <x14:cfRule type="dataBar" id="{48623686-634B-4BC6-AA5E-000AABFBD469}">
            <x14:dataBar minLength="0" maxLength="100" gradient="0">
              <x14:cfvo type="num">
                <xm:f>0</xm:f>
              </x14:cfvo>
              <x14:cfvo type="num">
                <xm:f>1</xm:f>
              </x14:cfvo>
              <x14:negativeFillColor rgb="FFFF0000"/>
              <x14:axisColor rgb="FF000000"/>
            </x14:dataBar>
          </x14:cfRule>
          <xm:sqref>H29</xm:sqref>
        </x14:conditionalFormatting>
        <x14:conditionalFormatting xmlns:xm="http://schemas.microsoft.com/office/excel/2006/main">
          <x14:cfRule type="dataBar" id="{551487A6-1382-47F0-A9EE-DDBC2DE51E5E}">
            <x14:dataBar minLength="0" maxLength="100" gradient="0">
              <x14:cfvo type="num">
                <xm:f>0</xm:f>
              </x14:cfvo>
              <x14:cfvo type="num">
                <xm:f>1</xm:f>
              </x14:cfvo>
              <x14:negativeFillColor rgb="FFFF0000"/>
              <x14:axisColor rgb="FF000000"/>
            </x14:dataBar>
          </x14:cfRule>
          <xm:sqref>F27:H28</xm:sqref>
        </x14:conditionalFormatting>
        <x14:conditionalFormatting xmlns:xm="http://schemas.microsoft.com/office/excel/2006/main">
          <x14:cfRule type="dataBar" id="{33862E1B-946D-40CD-AE1A-7282C871CC69}">
            <x14:dataBar minLength="0" maxLength="100" gradient="0">
              <x14:cfvo type="num">
                <xm:f>0</xm:f>
              </x14:cfvo>
              <x14:cfvo type="num">
                <xm:f>1</xm:f>
              </x14:cfvo>
              <x14:negativeFillColor rgb="FFFF0000"/>
              <x14:axisColor rgb="FF000000"/>
            </x14:dataBar>
          </x14:cfRule>
          <xm:sqref>F29:G29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workbookViewId="0"/>
  </sheetViews>
  <sheetFormatPr defaultColWidth="8.7265625" defaultRowHeight="15.65" customHeight="1" x14ac:dyDescent="0.35"/>
  <cols>
    <col min="1" max="1" width="39" style="11" customWidth="1"/>
    <col min="2" max="2" width="27.453125" style="11" bestFit="1" customWidth="1"/>
    <col min="3" max="9" width="24.26953125" style="11" customWidth="1"/>
    <col min="10" max="10" width="14.26953125" style="11" customWidth="1"/>
    <col min="11" max="27" width="10.1796875" style="11" customWidth="1"/>
    <col min="28" max="28" width="12.1796875" style="11" customWidth="1"/>
    <col min="29" max="29" width="12" style="11" customWidth="1"/>
    <col min="30" max="16384" width="8.7265625" style="11"/>
  </cols>
  <sheetData>
    <row r="1" spans="1:14" ht="23.15" customHeight="1" x14ac:dyDescent="0.5">
      <c r="A1" s="19" t="s">
        <v>228</v>
      </c>
      <c r="B1" s="18"/>
      <c r="C1" s="18"/>
      <c r="D1" s="18"/>
      <c r="E1" s="18"/>
      <c r="F1" s="18"/>
      <c r="G1" s="18"/>
      <c r="H1" s="18"/>
      <c r="I1" s="18"/>
      <c r="J1" s="19"/>
      <c r="K1" s="19"/>
      <c r="L1" s="19"/>
      <c r="M1" s="19"/>
      <c r="N1" s="19"/>
    </row>
    <row r="2" spans="1:14" ht="15.65" customHeight="1" x14ac:dyDescent="0.35">
      <c r="A2" s="24" t="s">
        <v>351</v>
      </c>
      <c r="B2" s="33"/>
      <c r="C2" s="33"/>
      <c r="D2" s="33"/>
      <c r="E2" s="33"/>
      <c r="F2" s="33"/>
      <c r="G2" s="33"/>
      <c r="H2" s="18"/>
      <c r="I2" s="18"/>
      <c r="J2" s="12"/>
      <c r="K2" s="12"/>
      <c r="L2" s="24"/>
      <c r="M2" s="24"/>
      <c r="N2" s="24"/>
    </row>
    <row r="3" spans="1:14" ht="15.65" customHeight="1" x14ac:dyDescent="0.35">
      <c r="A3" s="15" t="s">
        <v>231</v>
      </c>
      <c r="B3" s="33"/>
      <c r="C3" s="33"/>
      <c r="D3" s="33"/>
      <c r="E3" s="33"/>
      <c r="F3" s="33"/>
      <c r="G3" s="33"/>
      <c r="H3" s="18"/>
      <c r="I3" s="18"/>
      <c r="J3" s="12"/>
      <c r="K3" s="12"/>
      <c r="L3" s="15"/>
      <c r="M3" s="15"/>
      <c r="N3" s="15"/>
    </row>
    <row r="4" spans="1:14" ht="15.65" customHeight="1" x14ac:dyDescent="0.35">
      <c r="A4" s="88" t="s">
        <v>345</v>
      </c>
      <c r="B4" s="33"/>
      <c r="C4" s="33"/>
      <c r="D4" s="33"/>
      <c r="E4" s="33"/>
      <c r="F4" s="33"/>
      <c r="G4" s="33"/>
      <c r="H4" s="18"/>
      <c r="I4" s="18"/>
      <c r="J4" s="12"/>
      <c r="K4" s="12"/>
      <c r="L4" s="15"/>
      <c r="M4" s="15"/>
      <c r="N4" s="15"/>
    </row>
    <row r="5" spans="1:14" ht="15.65" customHeight="1" x14ac:dyDescent="0.35">
      <c r="A5" s="88" t="s">
        <v>346</v>
      </c>
      <c r="B5" s="33"/>
      <c r="C5" s="33"/>
      <c r="D5" s="33"/>
      <c r="E5" s="33"/>
      <c r="F5" s="33"/>
      <c r="G5" s="33"/>
      <c r="H5" s="18"/>
      <c r="I5" s="18"/>
      <c r="J5" s="12"/>
      <c r="K5" s="12"/>
      <c r="L5" s="15"/>
      <c r="M5" s="15"/>
      <c r="N5" s="15"/>
    </row>
    <row r="6" spans="1:14" ht="15.65" customHeight="1" x14ac:dyDescent="0.35">
      <c r="A6" s="15" t="s">
        <v>349</v>
      </c>
      <c r="B6" s="33"/>
      <c r="C6" s="33"/>
      <c r="D6" s="33"/>
      <c r="E6" s="33"/>
      <c r="F6" s="33"/>
      <c r="G6" s="33"/>
      <c r="H6" s="18"/>
      <c r="I6" s="18"/>
      <c r="J6" s="18"/>
      <c r="K6" s="18"/>
    </row>
    <row r="7" spans="1:14" ht="37.5" customHeight="1" x14ac:dyDescent="0.35">
      <c r="A7" s="146" t="s">
        <v>269</v>
      </c>
      <c r="B7" s="82" t="s">
        <v>119</v>
      </c>
      <c r="C7" s="32"/>
      <c r="D7" s="24"/>
      <c r="E7" s="24"/>
      <c r="F7" s="24"/>
      <c r="G7" s="24"/>
      <c r="H7" s="24"/>
      <c r="I7" s="24"/>
      <c r="J7" s="24"/>
      <c r="K7" s="24"/>
    </row>
    <row r="8" spans="1:14" ht="86.5" customHeight="1" x14ac:dyDescent="0.35">
      <c r="A8" s="35" t="s">
        <v>273</v>
      </c>
      <c r="B8" s="20" t="s">
        <v>12</v>
      </c>
      <c r="C8" s="20" t="s">
        <v>184</v>
      </c>
      <c r="D8" s="20" t="s">
        <v>350</v>
      </c>
      <c r="E8" s="20" t="s">
        <v>326</v>
      </c>
      <c r="F8" s="20" t="s">
        <v>185</v>
      </c>
      <c r="G8" s="24"/>
      <c r="H8" s="24"/>
      <c r="I8" s="24"/>
    </row>
    <row r="9" spans="1:14" ht="15.65" customHeight="1" x14ac:dyDescent="0.35">
      <c r="A9" s="69" t="str">
        <f xml:space="preserve"> "Total " &amp;$B$7</f>
        <v>Total All time</v>
      </c>
      <c r="B9" s="78">
        <f>VLOOKUP($A9, 'Table 3 - Full data'!$A$2:$F$145, 2, FALSE)</f>
        <v>19075</v>
      </c>
      <c r="C9" s="135">
        <f>VLOOKUP($A9, 'Table 3 - Full data'!$A$2:$F$145, 3, FALSE)</f>
        <v>1</v>
      </c>
      <c r="D9" s="79">
        <f>VLOOKUP($A9, 'Table 3 - Full data'!$A$2:$F$145, 4, FALSE)</f>
        <v>18200</v>
      </c>
      <c r="E9" s="79">
        <f>VLOOKUP($A9, 'Table 3 - Full data'!$A$2:$F$145, 5, FALSE)</f>
        <v>14030</v>
      </c>
      <c r="F9" s="61">
        <f>VLOOKUP($A9, 'Table 3 - Full data'!$A$2:$F$145, 6, FALSE)</f>
        <v>0.77</v>
      </c>
      <c r="G9" s="18"/>
      <c r="H9" s="24"/>
      <c r="I9" s="24"/>
    </row>
    <row r="10" spans="1:14" ht="15.65" customHeight="1" x14ac:dyDescent="0.35">
      <c r="A10" s="26" t="str">
        <f xml:space="preserve"> "Aberdeen City " &amp;$B$7</f>
        <v>Aberdeen City All time</v>
      </c>
      <c r="B10" s="63">
        <f>VLOOKUP($A10, 'Table 3 - Full data'!$A$2:$F$145, 2, FALSE)</f>
        <v>450</v>
      </c>
      <c r="C10" s="51">
        <f>VLOOKUP($A10, 'Table 3 - Full data'!$A$2:$F$145, 3, FALSE)</f>
        <v>0.02</v>
      </c>
      <c r="D10" s="136">
        <f>VLOOKUP($A10, 'Table 3 - Full data'!$A$2:$F$145, 4, FALSE)</f>
        <v>425</v>
      </c>
      <c r="E10" s="63">
        <f>VLOOKUP($A10, 'Table 3 - Full data'!$A$2:$F$145, 5, FALSE)</f>
        <v>325</v>
      </c>
      <c r="F10" s="134">
        <f>VLOOKUP($A10, 'Table 3 - Full data'!$A$2:$F$145, 6, FALSE)</f>
        <v>0.77</v>
      </c>
      <c r="G10" s="24"/>
      <c r="H10" s="24"/>
      <c r="I10" s="24"/>
    </row>
    <row r="11" spans="1:14" ht="15.65" customHeight="1" x14ac:dyDescent="0.35">
      <c r="A11" s="26" t="str">
        <f xml:space="preserve"> "Aberdeenshire " &amp;$B$7</f>
        <v>Aberdeenshire All time</v>
      </c>
      <c r="B11" s="63">
        <f>VLOOKUP($A11, 'Table 3 - Full data'!$A$2:$F$145, 2, FALSE)</f>
        <v>350</v>
      </c>
      <c r="C11" s="51">
        <f>VLOOKUP($A11, 'Table 3 - Full data'!$A$2:$F$145, 3, FALSE)</f>
        <v>0.02</v>
      </c>
      <c r="D11" s="137">
        <f>VLOOKUP($A11, 'Table 3 - Full data'!$A$2:$F$145, 4, FALSE)</f>
        <v>335</v>
      </c>
      <c r="E11" s="63">
        <f>VLOOKUP($A11, 'Table 3 - Full data'!$A$2:$F$145, 5, FALSE)</f>
        <v>250</v>
      </c>
      <c r="F11" s="134">
        <f>VLOOKUP($A11, 'Table 3 - Full data'!$A$2:$F$145, 6, FALSE)</f>
        <v>0.75</v>
      </c>
      <c r="G11" s="24"/>
      <c r="H11" s="24"/>
      <c r="I11" s="24"/>
    </row>
    <row r="12" spans="1:14" ht="15.65" customHeight="1" x14ac:dyDescent="0.35">
      <c r="A12" s="26" t="str">
        <f xml:space="preserve"> "Angus " &amp;$B$7</f>
        <v>Angus All time</v>
      </c>
      <c r="B12" s="63">
        <f>VLOOKUP($A12, 'Table 3 - Full data'!$A$2:$F$145, 2, FALSE)</f>
        <v>270</v>
      </c>
      <c r="C12" s="51">
        <f>VLOOKUP($A12, 'Table 3 - Full data'!$A$2:$F$145, 3, FALSE)</f>
        <v>0.01</v>
      </c>
      <c r="D12" s="137">
        <f>VLOOKUP($A12, 'Table 3 - Full data'!$A$2:$F$145, 4, FALSE)</f>
        <v>260</v>
      </c>
      <c r="E12" s="63">
        <f>VLOOKUP($A12, 'Table 3 - Full data'!$A$2:$F$145, 5, FALSE)</f>
        <v>190</v>
      </c>
      <c r="F12" s="134">
        <f>VLOOKUP($A12, 'Table 3 - Full data'!$A$2:$F$145, 6, FALSE)</f>
        <v>0.73</v>
      </c>
      <c r="G12" s="24"/>
      <c r="H12" s="24"/>
      <c r="I12" s="24"/>
    </row>
    <row r="13" spans="1:14" ht="15.65" customHeight="1" x14ac:dyDescent="0.35">
      <c r="A13" s="26" t="str">
        <f xml:space="preserve"> "Argyll and Bute " &amp;$B$7</f>
        <v>Argyll and Bute All time</v>
      </c>
      <c r="B13" s="63">
        <f>VLOOKUP($A13, 'Table 3 - Full data'!$A$2:$F$145, 2, FALSE)</f>
        <v>205</v>
      </c>
      <c r="C13" s="51">
        <f>VLOOKUP($A13, 'Table 3 - Full data'!$A$2:$F$145, 3, FALSE)</f>
        <v>0.01</v>
      </c>
      <c r="D13" s="137">
        <f>VLOOKUP($A13, 'Table 3 - Full data'!$A$2:$F$145, 4, FALSE)</f>
        <v>195</v>
      </c>
      <c r="E13" s="63">
        <f>VLOOKUP($A13, 'Table 3 - Full data'!$A$2:$F$145, 5, FALSE)</f>
        <v>155</v>
      </c>
      <c r="F13" s="134">
        <f>VLOOKUP($A13, 'Table 3 - Full data'!$A$2:$F$145, 6, FALSE)</f>
        <v>0.79</v>
      </c>
      <c r="G13" s="24"/>
      <c r="H13" s="24"/>
      <c r="I13" s="24"/>
    </row>
    <row r="14" spans="1:14" ht="15.65" customHeight="1" x14ac:dyDescent="0.35">
      <c r="A14" s="26" t="str">
        <f xml:space="preserve"> "Clackmannanshire " &amp;$B$7</f>
        <v>Clackmannanshire All time</v>
      </c>
      <c r="B14" s="63">
        <f>VLOOKUP($A14, 'Table 3 - Full data'!$A$2:$F$145, 2, FALSE)</f>
        <v>235</v>
      </c>
      <c r="C14" s="51">
        <f>VLOOKUP($A14, 'Table 3 - Full data'!$A$2:$F$145, 3, FALSE)</f>
        <v>0.01</v>
      </c>
      <c r="D14" s="137">
        <f>VLOOKUP($A14, 'Table 3 - Full data'!$A$2:$F$145, 4, FALSE)</f>
        <v>230</v>
      </c>
      <c r="E14" s="63">
        <f>VLOOKUP($A14, 'Table 3 - Full data'!$A$2:$F$145, 5, FALSE)</f>
        <v>180</v>
      </c>
      <c r="F14" s="134">
        <f>VLOOKUP($A14, 'Table 3 - Full data'!$A$2:$F$145, 6, FALSE)</f>
        <v>0.78</v>
      </c>
      <c r="G14" s="24"/>
      <c r="H14" s="24"/>
      <c r="I14" s="24"/>
    </row>
    <row r="15" spans="1:14" ht="15.65" customHeight="1" x14ac:dyDescent="0.35">
      <c r="A15" s="26" t="str">
        <f xml:space="preserve"> "Dumfries and Galloway " &amp;$B$7</f>
        <v>Dumfries and Galloway All time</v>
      </c>
      <c r="B15" s="63">
        <f>VLOOKUP($A15, 'Table 3 - Full data'!$A$2:$F$145, 2, FALSE)</f>
        <v>435</v>
      </c>
      <c r="C15" s="51">
        <f>VLOOKUP($A15, 'Table 3 - Full data'!$A$2:$F$145, 3, FALSE)</f>
        <v>0.02</v>
      </c>
      <c r="D15" s="137">
        <f>VLOOKUP($A15, 'Table 3 - Full data'!$A$2:$F$145, 4, FALSE)</f>
        <v>415</v>
      </c>
      <c r="E15" s="63">
        <f>VLOOKUP($A15, 'Table 3 - Full data'!$A$2:$F$145, 5, FALSE)</f>
        <v>320</v>
      </c>
      <c r="F15" s="134">
        <f>VLOOKUP($A15, 'Table 3 - Full data'!$A$2:$F$145, 6, FALSE)</f>
        <v>0.77</v>
      </c>
      <c r="G15" s="24"/>
      <c r="H15" s="24"/>
      <c r="I15" s="24"/>
    </row>
    <row r="16" spans="1:14" ht="15.65" customHeight="1" x14ac:dyDescent="0.35">
      <c r="A16" s="26" t="str">
        <f xml:space="preserve"> "Dundee City " &amp;$B$7</f>
        <v>Dundee City All time</v>
      </c>
      <c r="B16" s="63">
        <f>VLOOKUP($A16, 'Table 3 - Full data'!$A$2:$F$145, 2, FALSE)</f>
        <v>760</v>
      </c>
      <c r="C16" s="51">
        <f>VLOOKUP($A16, 'Table 3 - Full data'!$A$2:$F$145, 3, FALSE)</f>
        <v>0.04</v>
      </c>
      <c r="D16" s="137">
        <f>VLOOKUP($A16, 'Table 3 - Full data'!$A$2:$F$145, 4, FALSE)</f>
        <v>725</v>
      </c>
      <c r="E16" s="63">
        <f>VLOOKUP($A16, 'Table 3 - Full data'!$A$2:$F$145, 5, FALSE)</f>
        <v>595</v>
      </c>
      <c r="F16" s="134">
        <f>VLOOKUP($A16, 'Table 3 - Full data'!$A$2:$F$145, 6, FALSE)</f>
        <v>0.82</v>
      </c>
      <c r="G16" s="24"/>
      <c r="H16" s="24"/>
      <c r="I16" s="24"/>
    </row>
    <row r="17" spans="1:9" ht="15.65" customHeight="1" x14ac:dyDescent="0.35">
      <c r="A17" s="26" t="str">
        <f xml:space="preserve"> "East Ayrshire " &amp;$B$7</f>
        <v>East Ayrshire All time</v>
      </c>
      <c r="B17" s="63">
        <f>VLOOKUP($A17, 'Table 3 - Full data'!$A$2:$F$145, 2, FALSE)</f>
        <v>575</v>
      </c>
      <c r="C17" s="51">
        <f>VLOOKUP($A17, 'Table 3 - Full data'!$A$2:$F$145, 3, FALSE)</f>
        <v>0.03</v>
      </c>
      <c r="D17" s="137">
        <f>VLOOKUP($A17, 'Table 3 - Full data'!$A$2:$F$145, 4, FALSE)</f>
        <v>555</v>
      </c>
      <c r="E17" s="63">
        <f>VLOOKUP($A17, 'Table 3 - Full data'!$A$2:$F$145, 5, FALSE)</f>
        <v>420</v>
      </c>
      <c r="F17" s="134">
        <f>VLOOKUP($A17, 'Table 3 - Full data'!$A$2:$F$145, 6, FALSE)</f>
        <v>0.76</v>
      </c>
      <c r="G17" s="24"/>
      <c r="H17" s="24"/>
      <c r="I17" s="24"/>
    </row>
    <row r="18" spans="1:9" ht="15.65" customHeight="1" x14ac:dyDescent="0.35">
      <c r="A18" s="26" t="str">
        <f xml:space="preserve"> "East Dunbartonshire " &amp;$B$7</f>
        <v>East Dunbartonshire All time</v>
      </c>
      <c r="B18" s="63">
        <f>VLOOKUP($A18, 'Table 3 - Full data'!$A$2:$F$145, 2, FALSE)</f>
        <v>195</v>
      </c>
      <c r="C18" s="51">
        <f>VLOOKUP($A18, 'Table 3 - Full data'!$A$2:$F$145, 3, FALSE)</f>
        <v>0.01</v>
      </c>
      <c r="D18" s="137">
        <f>VLOOKUP($A18, 'Table 3 - Full data'!$A$2:$F$145, 4, FALSE)</f>
        <v>190</v>
      </c>
      <c r="E18" s="63">
        <f>VLOOKUP($A18, 'Table 3 - Full data'!$A$2:$F$145, 5, FALSE)</f>
        <v>145</v>
      </c>
      <c r="F18" s="134">
        <f>VLOOKUP($A18, 'Table 3 - Full data'!$A$2:$F$145, 6, FALSE)</f>
        <v>0.75</v>
      </c>
      <c r="G18" s="24"/>
      <c r="H18" s="24"/>
      <c r="I18" s="24"/>
    </row>
    <row r="19" spans="1:9" ht="15.65" customHeight="1" x14ac:dyDescent="0.35">
      <c r="A19" s="26" t="str">
        <f xml:space="preserve"> "East Lothian " &amp;$B$7</f>
        <v>East Lothian All time</v>
      </c>
      <c r="B19" s="63">
        <f>VLOOKUP($A19, 'Table 3 - Full data'!$A$2:$F$145, 2, FALSE)</f>
        <v>225</v>
      </c>
      <c r="C19" s="51">
        <f>VLOOKUP($A19, 'Table 3 - Full data'!$A$2:$F$145, 3, FALSE)</f>
        <v>0.01</v>
      </c>
      <c r="D19" s="137">
        <f>VLOOKUP($A19, 'Table 3 - Full data'!$A$2:$F$145, 4, FALSE)</f>
        <v>215</v>
      </c>
      <c r="E19" s="63">
        <f>VLOOKUP($A19, 'Table 3 - Full data'!$A$2:$F$145, 5, FALSE)</f>
        <v>160</v>
      </c>
      <c r="F19" s="134">
        <f>VLOOKUP($A19, 'Table 3 - Full data'!$A$2:$F$145, 6, FALSE)</f>
        <v>0.74</v>
      </c>
      <c r="G19" s="24"/>
      <c r="H19" s="24"/>
      <c r="I19" s="24"/>
    </row>
    <row r="20" spans="1:9" ht="15.65" customHeight="1" x14ac:dyDescent="0.35">
      <c r="A20" s="26" t="str">
        <f xml:space="preserve"> "East Renfrewshire " &amp;$B$7</f>
        <v>East Renfrewshire All time</v>
      </c>
      <c r="B20" s="63">
        <f>VLOOKUP($A20, 'Table 3 - Full data'!$A$2:$F$145, 2, FALSE)</f>
        <v>190</v>
      </c>
      <c r="C20" s="51">
        <f>VLOOKUP($A20, 'Table 3 - Full data'!$A$2:$F$145, 3, FALSE)</f>
        <v>0.01</v>
      </c>
      <c r="D20" s="137">
        <f>VLOOKUP($A20, 'Table 3 - Full data'!$A$2:$F$145, 4, FALSE)</f>
        <v>190</v>
      </c>
      <c r="E20" s="63">
        <f>VLOOKUP($A20, 'Table 3 - Full data'!$A$2:$F$145, 5, FALSE)</f>
        <v>145</v>
      </c>
      <c r="F20" s="134">
        <f>VLOOKUP($A20, 'Table 3 - Full data'!$A$2:$F$145, 6, FALSE)</f>
        <v>0.78</v>
      </c>
      <c r="G20" s="24"/>
      <c r="H20" s="24"/>
      <c r="I20" s="24"/>
    </row>
    <row r="21" spans="1:9" ht="15.65" customHeight="1" x14ac:dyDescent="0.35">
      <c r="A21" s="26" t="str">
        <f xml:space="preserve"> "Edinburgh, City of " &amp;$B$7</f>
        <v>Edinburgh, City of All time</v>
      </c>
      <c r="B21" s="63">
        <f>VLOOKUP($A21, 'Table 3 - Full data'!$A$2:$F$145, 2, FALSE)</f>
        <v>970</v>
      </c>
      <c r="C21" s="51">
        <f>VLOOKUP($A21, 'Table 3 - Full data'!$A$2:$F$145, 3, FALSE)</f>
        <v>0.05</v>
      </c>
      <c r="D21" s="137">
        <f>VLOOKUP($A21, 'Table 3 - Full data'!$A$2:$F$145, 4, FALSE)</f>
        <v>920</v>
      </c>
      <c r="E21" s="63">
        <f>VLOOKUP($A21, 'Table 3 - Full data'!$A$2:$F$145, 5, FALSE)</f>
        <v>725</v>
      </c>
      <c r="F21" s="134">
        <f>VLOOKUP($A21, 'Table 3 - Full data'!$A$2:$F$145, 6, FALSE)</f>
        <v>0.79</v>
      </c>
      <c r="G21" s="24"/>
      <c r="H21" s="24"/>
      <c r="I21" s="24"/>
    </row>
    <row r="22" spans="1:9" ht="15.65" customHeight="1" x14ac:dyDescent="0.35">
      <c r="A22" s="26" t="str">
        <f xml:space="preserve"> "Falkirk " &amp;$B$7</f>
        <v>Falkirk All time</v>
      </c>
      <c r="B22" s="63">
        <f>VLOOKUP($A22, 'Table 3 - Full data'!$A$2:$F$145, 2, FALSE)</f>
        <v>505</v>
      </c>
      <c r="C22" s="51">
        <f>VLOOKUP($A22, 'Table 3 - Full data'!$A$2:$F$145, 3, FALSE)</f>
        <v>0.03</v>
      </c>
      <c r="D22" s="137">
        <f>VLOOKUP($A22, 'Table 3 - Full data'!$A$2:$F$145, 4, FALSE)</f>
        <v>485</v>
      </c>
      <c r="E22" s="63">
        <f>VLOOKUP($A22, 'Table 3 - Full data'!$A$2:$F$145, 5, FALSE)</f>
        <v>375</v>
      </c>
      <c r="F22" s="134">
        <f>VLOOKUP($A22, 'Table 3 - Full data'!$A$2:$F$145, 6, FALSE)</f>
        <v>0.77</v>
      </c>
      <c r="G22" s="71"/>
      <c r="H22" s="24"/>
      <c r="I22" s="24"/>
    </row>
    <row r="23" spans="1:9" ht="15.65" customHeight="1" x14ac:dyDescent="0.35">
      <c r="A23" s="26" t="str">
        <f xml:space="preserve"> "Fife " &amp;$B$7</f>
        <v>Fife All time</v>
      </c>
      <c r="B23" s="63">
        <f>VLOOKUP($A23, 'Table 3 - Full data'!$A$2:$F$145, 2, FALSE)</f>
        <v>980</v>
      </c>
      <c r="C23" s="51">
        <f>VLOOKUP($A23, 'Table 3 - Full data'!$A$2:$F$145, 3, FALSE)</f>
        <v>0.05</v>
      </c>
      <c r="D23" s="137">
        <f>VLOOKUP($A23, 'Table 3 - Full data'!$A$2:$F$145, 4, FALSE)</f>
        <v>935</v>
      </c>
      <c r="E23" s="63">
        <f>VLOOKUP($A23, 'Table 3 - Full data'!$A$2:$F$145, 5, FALSE)</f>
        <v>710</v>
      </c>
      <c r="F23" s="134">
        <f>VLOOKUP($A23, 'Table 3 - Full data'!$A$2:$F$145, 6, FALSE)</f>
        <v>0.76</v>
      </c>
      <c r="G23" s="71"/>
      <c r="H23" s="24"/>
      <c r="I23" s="24"/>
    </row>
    <row r="24" spans="1:9" ht="15.65" customHeight="1" x14ac:dyDescent="0.35">
      <c r="A24" s="26" t="str">
        <f xml:space="preserve"> "Glasgow City " &amp;$B$7</f>
        <v>Glasgow City All time</v>
      </c>
      <c r="B24" s="63">
        <f>VLOOKUP($A24, 'Table 3 - Full data'!$A$2:$F$145, 2, FALSE)</f>
        <v>3985</v>
      </c>
      <c r="C24" s="51">
        <f>VLOOKUP($A24, 'Table 3 - Full data'!$A$2:$F$145, 3, FALSE)</f>
        <v>0.21</v>
      </c>
      <c r="D24" s="137">
        <f>VLOOKUP($A24, 'Table 3 - Full data'!$A$2:$F$145, 4, FALSE)</f>
        <v>3800</v>
      </c>
      <c r="E24" s="63">
        <f>VLOOKUP($A24, 'Table 3 - Full data'!$A$2:$F$145, 5, FALSE)</f>
        <v>3150</v>
      </c>
      <c r="F24" s="134">
        <f>VLOOKUP($A24, 'Table 3 - Full data'!$A$2:$F$145, 6, FALSE)</f>
        <v>0.83</v>
      </c>
      <c r="G24" s="17"/>
      <c r="H24" s="24"/>
      <c r="I24" s="24"/>
    </row>
    <row r="25" spans="1:9" ht="15.65" customHeight="1" x14ac:dyDescent="0.35">
      <c r="A25" s="26" t="str">
        <f xml:space="preserve"> "Highland " &amp;$B$7</f>
        <v>Highland All time</v>
      </c>
      <c r="B25" s="63">
        <f>VLOOKUP($A25, 'Table 3 - Full data'!$A$2:$F$145, 2, FALSE)</f>
        <v>565</v>
      </c>
      <c r="C25" s="51">
        <f>VLOOKUP($A25, 'Table 3 - Full data'!$A$2:$F$145, 3, FALSE)</f>
        <v>0.03</v>
      </c>
      <c r="D25" s="137">
        <f>VLOOKUP($A25, 'Table 3 - Full data'!$A$2:$F$145, 4, FALSE)</f>
        <v>535</v>
      </c>
      <c r="E25" s="63">
        <f>VLOOKUP($A25, 'Table 3 - Full data'!$A$2:$F$145, 5, FALSE)</f>
        <v>405</v>
      </c>
      <c r="F25" s="134">
        <f>VLOOKUP($A25, 'Table 3 - Full data'!$A$2:$F$145, 6, FALSE)</f>
        <v>0.75</v>
      </c>
      <c r="G25" s="71"/>
      <c r="H25" s="24"/>
      <c r="I25" s="24"/>
    </row>
    <row r="26" spans="1:9" ht="15.65" customHeight="1" x14ac:dyDescent="0.35">
      <c r="A26" s="26" t="str">
        <f xml:space="preserve"> "Inverclyde " &amp;$B$7</f>
        <v>Inverclyde All time</v>
      </c>
      <c r="B26" s="63">
        <f>VLOOKUP($A26, 'Table 3 - Full data'!$A$2:$F$145, 2, FALSE)</f>
        <v>435</v>
      </c>
      <c r="C26" s="51">
        <f>VLOOKUP($A26, 'Table 3 - Full data'!$A$2:$F$145, 3, FALSE)</f>
        <v>0.02</v>
      </c>
      <c r="D26" s="137">
        <f>VLOOKUP($A26, 'Table 3 - Full data'!$A$2:$F$145, 4, FALSE)</f>
        <v>420</v>
      </c>
      <c r="E26" s="63">
        <f>VLOOKUP($A26, 'Table 3 - Full data'!$A$2:$F$145, 5, FALSE)</f>
        <v>325</v>
      </c>
      <c r="F26" s="134">
        <f>VLOOKUP($A26, 'Table 3 - Full data'!$A$2:$F$145, 6, FALSE)</f>
        <v>0.78</v>
      </c>
      <c r="G26" s="71"/>
      <c r="H26" s="24"/>
      <c r="I26" s="24"/>
    </row>
    <row r="27" spans="1:9" ht="15.65" customHeight="1" x14ac:dyDescent="0.35">
      <c r="A27" s="26" t="str">
        <f xml:space="preserve"> "Midlothian " &amp;$B$7</f>
        <v>Midlothian All time</v>
      </c>
      <c r="B27" s="63">
        <f>VLOOKUP($A27, 'Table 3 - Full data'!$A$2:$F$145, 2, FALSE)</f>
        <v>245</v>
      </c>
      <c r="C27" s="51">
        <f>VLOOKUP($A27, 'Table 3 - Full data'!$A$2:$F$145, 3, FALSE)</f>
        <v>0.01</v>
      </c>
      <c r="D27" s="137">
        <f>VLOOKUP($A27, 'Table 3 - Full data'!$A$2:$F$145, 4, FALSE)</f>
        <v>230</v>
      </c>
      <c r="E27" s="63">
        <f>VLOOKUP($A27, 'Table 3 - Full data'!$A$2:$F$145, 5, FALSE)</f>
        <v>165</v>
      </c>
      <c r="F27" s="134">
        <f>VLOOKUP($A27, 'Table 3 - Full data'!$A$2:$F$145, 6, FALSE)</f>
        <v>0.72</v>
      </c>
      <c r="G27" s="24"/>
      <c r="H27" s="24"/>
      <c r="I27" s="24"/>
    </row>
    <row r="28" spans="1:9" ht="15.65" customHeight="1" x14ac:dyDescent="0.35">
      <c r="A28" s="26" t="str">
        <f xml:space="preserve"> "Moray " &amp;$B$7</f>
        <v>Moray All time</v>
      </c>
      <c r="B28" s="63">
        <f>VLOOKUP($A28, 'Table 3 - Full data'!$A$2:$F$145, 2, FALSE)</f>
        <v>200</v>
      </c>
      <c r="C28" s="51">
        <f>VLOOKUP($A28, 'Table 3 - Full data'!$A$2:$F$145, 3, FALSE)</f>
        <v>0.01</v>
      </c>
      <c r="D28" s="137">
        <f>VLOOKUP($A28, 'Table 3 - Full data'!$A$2:$F$145, 4, FALSE)</f>
        <v>185</v>
      </c>
      <c r="E28" s="63">
        <f>VLOOKUP($A28, 'Table 3 - Full data'!$A$2:$F$145, 5, FALSE)</f>
        <v>135</v>
      </c>
      <c r="F28" s="134">
        <f>VLOOKUP($A28, 'Table 3 - Full data'!$A$2:$F$145, 6, FALSE)</f>
        <v>0.72</v>
      </c>
      <c r="G28" s="24"/>
      <c r="H28" s="24"/>
      <c r="I28" s="24"/>
    </row>
    <row r="29" spans="1:9" ht="15.65" customHeight="1" x14ac:dyDescent="0.35">
      <c r="A29" s="26" t="str">
        <f xml:space="preserve"> "Na h-Eileanan Siar " &amp;$B$7</f>
        <v>Na h-Eileanan Siar All time</v>
      </c>
      <c r="B29" s="63">
        <f>VLOOKUP($A29, 'Table 3 - Full data'!$A$2:$F$145, 2, FALSE)</f>
        <v>45</v>
      </c>
      <c r="C29" s="51">
        <f>VLOOKUP($A29, 'Table 3 - Full data'!$A$2:$F$145, 3, FALSE)</f>
        <v>0</v>
      </c>
      <c r="D29" s="137">
        <f>VLOOKUP($A29, 'Table 3 - Full data'!$A$2:$F$145, 4, FALSE)</f>
        <v>45</v>
      </c>
      <c r="E29" s="63">
        <f>VLOOKUP($A29, 'Table 3 - Full data'!$A$2:$F$145, 5, FALSE)</f>
        <v>30</v>
      </c>
      <c r="F29" s="134">
        <f>VLOOKUP($A29, 'Table 3 - Full data'!$A$2:$F$145, 6, FALSE)</f>
        <v>0.7</v>
      </c>
      <c r="G29" s="24"/>
      <c r="H29" s="24"/>
      <c r="I29" s="24"/>
    </row>
    <row r="30" spans="1:9" ht="15.65" customHeight="1" x14ac:dyDescent="0.35">
      <c r="A30" s="26" t="str">
        <f xml:space="preserve"> "North Ayrshire " &amp;$B$7</f>
        <v>North Ayrshire All time</v>
      </c>
      <c r="B30" s="63">
        <f>VLOOKUP($A30, 'Table 3 - Full data'!$A$2:$F$145, 2, FALSE)</f>
        <v>720</v>
      </c>
      <c r="C30" s="51">
        <f>VLOOKUP($A30, 'Table 3 - Full data'!$A$2:$F$145, 3, FALSE)</f>
        <v>0.04</v>
      </c>
      <c r="D30" s="137">
        <f>VLOOKUP($A30, 'Table 3 - Full data'!$A$2:$F$145, 4, FALSE)</f>
        <v>690</v>
      </c>
      <c r="E30" s="63">
        <f>VLOOKUP($A30, 'Table 3 - Full data'!$A$2:$F$145, 5, FALSE)</f>
        <v>545</v>
      </c>
      <c r="F30" s="134">
        <f>VLOOKUP($A30, 'Table 3 - Full data'!$A$2:$F$145, 6, FALSE)</f>
        <v>0.79</v>
      </c>
      <c r="G30" s="24"/>
      <c r="H30" s="24"/>
      <c r="I30" s="24"/>
    </row>
    <row r="31" spans="1:9" ht="15.65" customHeight="1" x14ac:dyDescent="0.35">
      <c r="A31" s="26" t="str">
        <f xml:space="preserve"> "North Lanarkshire " &amp;$B$7</f>
        <v>North Lanarkshire All time</v>
      </c>
      <c r="B31" s="63">
        <f>VLOOKUP($A31, 'Table 3 - Full data'!$A$2:$F$145, 2, FALSE)</f>
        <v>1820</v>
      </c>
      <c r="C31" s="51">
        <f>VLOOKUP($A31, 'Table 3 - Full data'!$A$2:$F$145, 3, FALSE)</f>
        <v>0.1</v>
      </c>
      <c r="D31" s="137">
        <f>VLOOKUP($A31, 'Table 3 - Full data'!$A$2:$F$145, 4, FALSE)</f>
        <v>1750</v>
      </c>
      <c r="E31" s="63">
        <f>VLOOKUP($A31, 'Table 3 - Full data'!$A$2:$F$145, 5, FALSE)</f>
        <v>1385</v>
      </c>
      <c r="F31" s="134">
        <f>VLOOKUP($A31, 'Table 3 - Full data'!$A$2:$F$145, 6, FALSE)</f>
        <v>0.79</v>
      </c>
      <c r="G31" s="24"/>
      <c r="H31" s="24"/>
      <c r="I31" s="24"/>
    </row>
    <row r="32" spans="1:9" ht="15.65" customHeight="1" x14ac:dyDescent="0.35">
      <c r="A32" s="26" t="str">
        <f xml:space="preserve"> "Orkney Islands " &amp;$B$7</f>
        <v>Orkney Islands All time</v>
      </c>
      <c r="B32" s="63">
        <f>VLOOKUP($A32, 'Table 3 - Full data'!$A$2:$F$145, 2, FALSE)</f>
        <v>25</v>
      </c>
      <c r="C32" s="51">
        <f>VLOOKUP($A32, 'Table 3 - Full data'!$A$2:$F$145, 3, FALSE)</f>
        <v>0</v>
      </c>
      <c r="D32" s="137">
        <f>VLOOKUP($A32, 'Table 3 - Full data'!$A$2:$F$145, 4, FALSE)</f>
        <v>20</v>
      </c>
      <c r="E32" s="63">
        <f>VLOOKUP($A32, 'Table 3 - Full data'!$A$2:$F$145, 5, FALSE)</f>
        <v>15</v>
      </c>
      <c r="F32" s="134">
        <f>VLOOKUP($A32, 'Table 3 - Full data'!$A$2:$F$145, 6, FALSE)</f>
        <v>0.77</v>
      </c>
      <c r="G32" s="24"/>
      <c r="H32" s="24"/>
      <c r="I32" s="24"/>
    </row>
    <row r="33" spans="1:10" ht="15.65" customHeight="1" x14ac:dyDescent="0.35">
      <c r="A33" s="26" t="str">
        <f xml:space="preserve"> "Perth and Kinross " &amp;$B$7</f>
        <v>Perth and Kinross All time</v>
      </c>
      <c r="B33" s="63">
        <f>VLOOKUP($A33, 'Table 3 - Full data'!$A$2:$F$145, 2, FALSE)</f>
        <v>285</v>
      </c>
      <c r="C33" s="51">
        <f>VLOOKUP($A33, 'Table 3 - Full data'!$A$2:$F$145, 3, FALSE)</f>
        <v>0.01</v>
      </c>
      <c r="D33" s="137">
        <f>VLOOKUP($A33, 'Table 3 - Full data'!$A$2:$F$145, 4, FALSE)</f>
        <v>275</v>
      </c>
      <c r="E33" s="63">
        <f>VLOOKUP($A33, 'Table 3 - Full data'!$A$2:$F$145, 5, FALSE)</f>
        <v>210</v>
      </c>
      <c r="F33" s="134">
        <f>VLOOKUP($A33, 'Table 3 - Full data'!$A$2:$F$145, 6, FALSE)</f>
        <v>0.76</v>
      </c>
      <c r="G33" s="24"/>
      <c r="H33" s="24"/>
      <c r="I33" s="24"/>
    </row>
    <row r="34" spans="1:10" ht="15.65" customHeight="1" x14ac:dyDescent="0.35">
      <c r="A34" s="26" t="str">
        <f xml:space="preserve"> "Renfrewshire " &amp;$B$7</f>
        <v>Renfrewshire All time</v>
      </c>
      <c r="B34" s="63">
        <f>VLOOKUP($A34, 'Table 3 - Full data'!$A$2:$F$145, 2, FALSE)</f>
        <v>640</v>
      </c>
      <c r="C34" s="51">
        <f>VLOOKUP($A34, 'Table 3 - Full data'!$A$2:$F$145, 3, FALSE)</f>
        <v>0.03</v>
      </c>
      <c r="D34" s="137">
        <f>VLOOKUP($A34, 'Table 3 - Full data'!$A$2:$F$145, 4, FALSE)</f>
        <v>605</v>
      </c>
      <c r="E34" s="63">
        <f>VLOOKUP($A34, 'Table 3 - Full data'!$A$2:$F$145, 5, FALSE)</f>
        <v>470</v>
      </c>
      <c r="F34" s="134">
        <f>VLOOKUP($A34, 'Table 3 - Full data'!$A$2:$F$145, 6, FALSE)</f>
        <v>0.78</v>
      </c>
      <c r="G34" s="24"/>
      <c r="H34" s="24"/>
      <c r="I34" s="24"/>
    </row>
    <row r="35" spans="1:10" ht="15.65" customHeight="1" x14ac:dyDescent="0.35">
      <c r="A35" s="26" t="str">
        <f xml:space="preserve"> "Scottish Borders " &amp;$B$7</f>
        <v>Scottish Borders All time</v>
      </c>
      <c r="B35" s="63">
        <f>VLOOKUP($A35, 'Table 3 - Full data'!$A$2:$F$145, 2, FALSE)</f>
        <v>260</v>
      </c>
      <c r="C35" s="51">
        <f>VLOOKUP($A35, 'Table 3 - Full data'!$A$2:$F$145, 3, FALSE)</f>
        <v>0.01</v>
      </c>
      <c r="D35" s="137">
        <f>VLOOKUP($A35, 'Table 3 - Full data'!$A$2:$F$145, 4, FALSE)</f>
        <v>255</v>
      </c>
      <c r="E35" s="63">
        <f>VLOOKUP($A35, 'Table 3 - Full data'!$A$2:$F$145, 5, FALSE)</f>
        <v>180</v>
      </c>
      <c r="F35" s="134">
        <f>VLOOKUP($A35, 'Table 3 - Full data'!$A$2:$F$145, 6, FALSE)</f>
        <v>0.7</v>
      </c>
      <c r="G35" s="24"/>
      <c r="H35" s="24"/>
      <c r="I35" s="24"/>
    </row>
    <row r="36" spans="1:10" ht="15.65" customHeight="1" x14ac:dyDescent="0.35">
      <c r="A36" s="26" t="str">
        <f xml:space="preserve"> "Shetland Islands " &amp;$B$7</f>
        <v>Shetland Islands All time</v>
      </c>
      <c r="B36" s="63">
        <f>VLOOKUP($A36, 'Table 3 - Full data'!$A$2:$F$145, 2, FALSE)</f>
        <v>25</v>
      </c>
      <c r="C36" s="51">
        <f>VLOOKUP($A36, 'Table 3 - Full data'!$A$2:$F$145, 3, FALSE)</f>
        <v>0</v>
      </c>
      <c r="D36" s="137">
        <f>VLOOKUP($A36, 'Table 3 - Full data'!$A$2:$F$145, 4, FALSE)</f>
        <v>25</v>
      </c>
      <c r="E36" s="63">
        <f>VLOOKUP($A36, 'Table 3 - Full data'!$A$2:$F$145, 5, FALSE)</f>
        <v>20</v>
      </c>
      <c r="F36" s="134">
        <f>VLOOKUP($A36, 'Table 3 - Full data'!$A$2:$F$145, 6, FALSE)</f>
        <v>0.8</v>
      </c>
      <c r="G36" s="24"/>
      <c r="H36" s="24"/>
      <c r="I36" s="24"/>
    </row>
    <row r="37" spans="1:10" ht="15.65" customHeight="1" x14ac:dyDescent="0.35">
      <c r="A37" s="26" t="str">
        <f xml:space="preserve"> "South Ayrshire " &amp;$B$7</f>
        <v>South Ayrshire All time</v>
      </c>
      <c r="B37" s="63">
        <f>VLOOKUP($A37, 'Table 3 - Full data'!$A$2:$F$145, 2, FALSE)</f>
        <v>425</v>
      </c>
      <c r="C37" s="51">
        <f>VLOOKUP($A37, 'Table 3 - Full data'!$A$2:$F$145, 3, FALSE)</f>
        <v>0.02</v>
      </c>
      <c r="D37" s="137">
        <f>VLOOKUP($A37, 'Table 3 - Full data'!$A$2:$F$145, 4, FALSE)</f>
        <v>400</v>
      </c>
      <c r="E37" s="63">
        <f>VLOOKUP($A37, 'Table 3 - Full data'!$A$2:$F$145, 5, FALSE)</f>
        <v>290</v>
      </c>
      <c r="F37" s="134">
        <f>VLOOKUP($A37, 'Table 3 - Full data'!$A$2:$F$145, 6, FALSE)</f>
        <v>0.73</v>
      </c>
      <c r="G37" s="24"/>
      <c r="H37" s="71"/>
      <c r="I37" s="24"/>
    </row>
    <row r="38" spans="1:10" ht="15.65" customHeight="1" x14ac:dyDescent="0.35">
      <c r="A38" s="26" t="str">
        <f xml:space="preserve"> "South Lanarkshire " &amp;$B$7</f>
        <v>South Lanarkshire All time</v>
      </c>
      <c r="B38" s="63">
        <f>VLOOKUP($A38, 'Table 3 - Full data'!$A$2:$F$145, 2, FALSE)</f>
        <v>1400</v>
      </c>
      <c r="C38" s="51">
        <f>VLOOKUP($A38, 'Table 3 - Full data'!$A$2:$F$145, 3, FALSE)</f>
        <v>7.0000000000000007E-2</v>
      </c>
      <c r="D38" s="137">
        <f>VLOOKUP($A38, 'Table 3 - Full data'!$A$2:$F$145, 4, FALSE)</f>
        <v>1330</v>
      </c>
      <c r="E38" s="63">
        <f>VLOOKUP($A38, 'Table 3 - Full data'!$A$2:$F$145, 5, FALSE)</f>
        <v>1040</v>
      </c>
      <c r="F38" s="134">
        <f>VLOOKUP($A38, 'Table 3 - Full data'!$A$2:$F$145, 6, FALSE)</f>
        <v>0.78</v>
      </c>
      <c r="G38" s="24"/>
      <c r="H38" s="71"/>
      <c r="I38" s="71"/>
      <c r="J38" s="39"/>
    </row>
    <row r="39" spans="1:10" ht="15.65" customHeight="1" x14ac:dyDescent="0.35">
      <c r="A39" s="26" t="str">
        <f xml:space="preserve"> "Stirling " &amp;$B$7</f>
        <v>Stirling All time</v>
      </c>
      <c r="B39" s="63">
        <f>VLOOKUP($A39, 'Table 3 - Full data'!$A$2:$F$145, 2, FALSE)</f>
        <v>235</v>
      </c>
      <c r="C39" s="51">
        <f>VLOOKUP($A39, 'Table 3 - Full data'!$A$2:$F$145, 3, FALSE)</f>
        <v>0.01</v>
      </c>
      <c r="D39" s="137">
        <f>VLOOKUP($A39, 'Table 3 - Full data'!$A$2:$F$145, 4, FALSE)</f>
        <v>220</v>
      </c>
      <c r="E39" s="63">
        <f>VLOOKUP($A39, 'Table 3 - Full data'!$A$2:$F$145, 5, FALSE)</f>
        <v>175</v>
      </c>
      <c r="F39" s="134">
        <f>VLOOKUP($A39, 'Table 3 - Full data'!$A$2:$F$145, 6, FALSE)</f>
        <v>0.81</v>
      </c>
      <c r="G39" s="24"/>
      <c r="H39" s="71"/>
      <c r="I39" s="71"/>
      <c r="J39" s="39"/>
    </row>
    <row r="40" spans="1:10" ht="15.65" customHeight="1" x14ac:dyDescent="0.35">
      <c r="A40" s="26" t="str">
        <f xml:space="preserve"> "West Dunbartonshire " &amp;$B$7</f>
        <v>West Dunbartonshire All time</v>
      </c>
      <c r="B40" s="63">
        <f>VLOOKUP($A40, 'Table 3 - Full data'!$A$2:$F$145, 2, FALSE)</f>
        <v>475</v>
      </c>
      <c r="C40" s="51">
        <f>VLOOKUP($A40, 'Table 3 - Full data'!$A$2:$F$145, 3, FALSE)</f>
        <v>0.03</v>
      </c>
      <c r="D40" s="137">
        <f>VLOOKUP($A40, 'Table 3 - Full data'!$A$2:$F$145, 4, FALSE)</f>
        <v>460</v>
      </c>
      <c r="E40" s="63">
        <f>VLOOKUP($A40, 'Table 3 - Full data'!$A$2:$F$145, 5, FALSE)</f>
        <v>355</v>
      </c>
      <c r="F40" s="134">
        <f>VLOOKUP($A40, 'Table 3 - Full data'!$A$2:$F$145, 6, FALSE)</f>
        <v>0.78</v>
      </c>
      <c r="G40" s="24"/>
      <c r="H40" s="149"/>
      <c r="I40" s="149"/>
      <c r="J40" s="30"/>
    </row>
    <row r="41" spans="1:10" ht="15.65" customHeight="1" x14ac:dyDescent="0.35">
      <c r="A41" s="26" t="str">
        <f xml:space="preserve"> "West Lothian " &amp;$B$7</f>
        <v>West Lothian All time</v>
      </c>
      <c r="B41" s="63">
        <f>VLOOKUP($A41, 'Table 3 - Full data'!$A$2:$F$145, 2, FALSE)</f>
        <v>590</v>
      </c>
      <c r="C41" s="51">
        <f>VLOOKUP($A41, 'Table 3 - Full data'!$A$2:$F$145, 3, FALSE)</f>
        <v>0.03</v>
      </c>
      <c r="D41" s="137">
        <f>VLOOKUP($A41, 'Table 3 - Full data'!$A$2:$F$145, 4, FALSE)</f>
        <v>565</v>
      </c>
      <c r="E41" s="63">
        <f>VLOOKUP($A41, 'Table 3 - Full data'!$A$2:$F$145, 5, FALSE)</f>
        <v>430</v>
      </c>
      <c r="F41" s="134">
        <f>VLOOKUP($A41, 'Table 3 - Full data'!$A$2:$F$145, 6, FALSE)</f>
        <v>0.76</v>
      </c>
      <c r="G41" s="24"/>
      <c r="H41" s="147"/>
      <c r="I41" s="147"/>
      <c r="J41" s="40"/>
    </row>
    <row r="42" spans="1:10" ht="15.65" customHeight="1" x14ac:dyDescent="0.35">
      <c r="A42" s="68" t="str">
        <f xml:space="preserve"> "Unknown - Scottish address " &amp;$B$7</f>
        <v>Unknown - Scottish address All time</v>
      </c>
      <c r="B42" s="63">
        <f>VLOOKUP($A42, 'Table 3 - Full data'!$A$2:$F$145, 2, FALSE)</f>
        <v>10</v>
      </c>
      <c r="C42" s="51">
        <f>VLOOKUP($A42, 'Table 3 - Full data'!$A$2:$F$145, 3, FALSE)</f>
        <v>0</v>
      </c>
      <c r="D42" s="137">
        <f>VLOOKUP($A42, 'Table 3 - Full data'!$A$2:$F$145, 4, FALSE)</f>
        <v>10</v>
      </c>
      <c r="E42" s="63">
        <f>VLOOKUP($A42, 'Table 3 - Full data'!$A$2:$F$145, 5, FALSE)</f>
        <v>10</v>
      </c>
      <c r="F42" s="134">
        <f>VLOOKUP($A42, 'Table 3 - Full data'!$A$2:$F$145, 6, FALSE)</f>
        <v>0.8</v>
      </c>
      <c r="G42" s="24"/>
      <c r="H42" s="71"/>
      <c r="I42" s="71"/>
      <c r="J42" s="39"/>
    </row>
    <row r="43" spans="1:10" ht="15.65" customHeight="1" x14ac:dyDescent="0.35">
      <c r="A43" s="68" t="str">
        <f xml:space="preserve"> "Non-Scottish postcode " &amp;$B$7</f>
        <v>Non-Scottish postcode All time</v>
      </c>
      <c r="B43" s="63">
        <f>VLOOKUP($A43, 'Table 3 - Full data'!$A$2:$F$145, 2, FALSE)</f>
        <v>315</v>
      </c>
      <c r="C43" s="51">
        <f>VLOOKUP($A43, 'Table 3 - Full data'!$A$2:$F$145, 3, FALSE)</f>
        <v>0.02</v>
      </c>
      <c r="D43" s="137">
        <f>VLOOKUP($A43, 'Table 3 - Full data'!$A$2:$F$145, 4, FALSE)</f>
        <v>295</v>
      </c>
      <c r="E43" s="63">
        <f>VLOOKUP($A43, 'Table 3 - Full data'!$A$2:$F$145, 5, FALSE)</f>
        <v>10</v>
      </c>
      <c r="F43" s="134">
        <f>VLOOKUP($A43, 'Table 3 - Full data'!$A$2:$F$145, 6, FALSE)</f>
        <v>0.03</v>
      </c>
      <c r="G43" s="24"/>
      <c r="H43" s="24"/>
      <c r="I43" s="24"/>
    </row>
    <row r="44" spans="1:10" ht="15.65" customHeight="1" x14ac:dyDescent="0.35">
      <c r="A44" s="68" t="str">
        <f xml:space="preserve"> "No address " &amp;$B$7</f>
        <v>No address All time</v>
      </c>
      <c r="B44" s="63">
        <f>VLOOKUP($A44, 'Table 3 - Full data'!$A$2:$F$145, 2, FALSE)</f>
        <v>30</v>
      </c>
      <c r="C44" s="51">
        <f>VLOOKUP($A44, 'Table 3 - Full data'!$A$2:$F$145, 3, FALSE)</f>
        <v>0</v>
      </c>
      <c r="D44" s="137">
        <f>VLOOKUP($A44, 'Table 3 - Full data'!$A$2:$F$145, 4, FALSE)</f>
        <v>30</v>
      </c>
      <c r="E44" s="63" t="str">
        <f>VLOOKUP($A44, 'Table 3 - Full data'!$A$2:$F$145, 5, FALSE)</f>
        <v>[c]</v>
      </c>
      <c r="F44" s="134" t="str">
        <f>VLOOKUP($A44, 'Table 3 - Full data'!$A$2:$F$145, 6, FALSE)</f>
        <v>[c]</v>
      </c>
      <c r="G44" s="24"/>
      <c r="H44" s="24"/>
      <c r="I44" s="24"/>
    </row>
    <row r="45" spans="1:10" ht="15.65" customHeight="1" x14ac:dyDescent="0.35">
      <c r="A45" s="80" t="s">
        <v>7</v>
      </c>
      <c r="B45" s="63"/>
      <c r="C45" s="145"/>
      <c r="D45" s="63"/>
      <c r="E45" s="63"/>
      <c r="F45" s="145"/>
      <c r="G45" s="24"/>
      <c r="H45" s="24"/>
      <c r="I45" s="24"/>
    </row>
    <row r="46" spans="1:10" ht="15.65" customHeight="1" x14ac:dyDescent="0.35">
      <c r="A46" s="80" t="s">
        <v>352</v>
      </c>
      <c r="B46" s="63"/>
      <c r="C46" s="145"/>
      <c r="D46" s="63"/>
      <c r="E46" s="63"/>
      <c r="F46" s="145"/>
      <c r="G46" s="24"/>
      <c r="H46" s="24"/>
      <c r="I46" s="24"/>
    </row>
    <row r="47" spans="1:10" ht="156" customHeight="1" x14ac:dyDescent="0.35">
      <c r="A47" s="149" t="s">
        <v>270</v>
      </c>
      <c r="B47" s="147"/>
      <c r="C47" s="147"/>
      <c r="D47" s="147"/>
      <c r="E47" s="147"/>
      <c r="F47" s="147"/>
      <c r="G47" s="71"/>
      <c r="H47" s="71"/>
      <c r="I47" s="24"/>
    </row>
    <row r="48" spans="1:10" ht="15.5" x14ac:dyDescent="0.35">
      <c r="A48" s="148" t="s">
        <v>375</v>
      </c>
      <c r="B48" s="71"/>
      <c r="C48" s="71"/>
      <c r="D48" s="71"/>
      <c r="E48" s="71"/>
      <c r="F48" s="71"/>
      <c r="G48" s="71"/>
      <c r="H48" s="71"/>
      <c r="I48" s="24"/>
    </row>
    <row r="49" spans="1:9" ht="15.65" customHeight="1" x14ac:dyDescent="0.35">
      <c r="A49" s="148" t="s">
        <v>271</v>
      </c>
      <c r="B49" s="24"/>
      <c r="C49" s="24"/>
      <c r="D49" s="24"/>
      <c r="E49" s="24"/>
      <c r="F49" s="24"/>
      <c r="G49" s="149"/>
      <c r="H49" s="149"/>
      <c r="I49" s="24"/>
    </row>
    <row r="50" spans="1:9" ht="15.5" x14ac:dyDescent="0.35">
      <c r="A50" s="148" t="s">
        <v>272</v>
      </c>
      <c r="B50" s="24"/>
      <c r="C50" s="24"/>
      <c r="D50" s="24"/>
      <c r="E50" s="24"/>
      <c r="F50" s="24"/>
      <c r="G50" s="147"/>
      <c r="H50" s="147"/>
      <c r="I50" s="24"/>
    </row>
    <row r="51" spans="1:9" ht="15.65" customHeight="1" x14ac:dyDescent="0.35">
      <c r="A51" s="148" t="s">
        <v>6</v>
      </c>
      <c r="B51" s="24"/>
      <c r="C51" s="24"/>
      <c r="D51" s="24"/>
      <c r="E51" s="24"/>
      <c r="F51" s="24"/>
      <c r="G51" s="71"/>
      <c r="H51" s="71"/>
      <c r="I51" s="24"/>
    </row>
    <row r="52" spans="1:9" ht="15.65" customHeight="1" x14ac:dyDescent="0.35">
      <c r="A52" s="24"/>
      <c r="B52" s="24"/>
      <c r="C52" s="24"/>
      <c r="D52" s="24"/>
      <c r="E52" s="24"/>
      <c r="F52" s="24"/>
      <c r="G52" s="24"/>
      <c r="H52" s="24"/>
      <c r="I52" s="24"/>
    </row>
    <row r="53" spans="1:9" ht="15.65" customHeight="1" x14ac:dyDescent="0.35">
      <c r="A53" s="24"/>
      <c r="B53" s="24"/>
      <c r="C53" s="24"/>
      <c r="D53" s="24"/>
      <c r="E53" s="24"/>
      <c r="F53" s="24"/>
      <c r="G53" s="24"/>
      <c r="H53" s="24"/>
      <c r="I53" s="24"/>
    </row>
    <row r="54" spans="1:9" ht="15.65" customHeight="1" x14ac:dyDescent="0.35">
      <c r="A54" s="24"/>
      <c r="B54" s="24"/>
      <c r="C54" s="24"/>
      <c r="D54" s="24"/>
      <c r="E54" s="24"/>
      <c r="F54" s="24"/>
      <c r="G54" s="24"/>
      <c r="H54" s="24"/>
      <c r="I54" s="24"/>
    </row>
    <row r="55" spans="1:9" ht="15.65" customHeight="1" x14ac:dyDescent="0.35">
      <c r="A55" s="24"/>
      <c r="B55" s="24"/>
      <c r="C55" s="24"/>
      <c r="D55" s="24"/>
      <c r="E55" s="24"/>
      <c r="F55" s="24"/>
      <c r="G55" s="24"/>
      <c r="H55" s="24"/>
      <c r="I55" s="24"/>
    </row>
  </sheetData>
  <conditionalFormatting sqref="C9:C44 F9:F44">
    <cfRule type="dataBar" priority="1">
      <dataBar>
        <cfvo type="num" val="0"/>
        <cfvo type="num" val="1"/>
        <color rgb="FFB4A9D4"/>
      </dataBar>
      <extLst>
        <ext xmlns:x14="http://schemas.microsoft.com/office/spreadsheetml/2009/9/main" uri="{B025F937-C7B1-47D3-B67F-A62EFF666E3E}">
          <x14:id>{B8017B2D-C319-4CED-8A56-E028524C73D9}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8017B2D-C319-4CED-8A56-E028524C73D9}">
            <x14:dataBar minLength="0" maxLength="100" gradient="0">
              <x14:cfvo type="num">
                <xm:f>0</xm:f>
              </x14:cfvo>
              <x14:cfvo type="num">
                <xm:f>1</xm:f>
              </x14:cfvo>
              <x14:negativeFillColor rgb="FFFF0000"/>
              <x14:axisColor rgb="FF000000"/>
            </x14:dataBar>
          </x14:cfRule>
          <xm:sqref>C9:C44 F9:F44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'Table 3 - Full data'!$H$2:$H$5</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Q68"/>
  <sheetViews>
    <sheetView zoomScaleNormal="100" workbookViewId="0"/>
  </sheetViews>
  <sheetFormatPr defaultColWidth="8.7265625" defaultRowHeight="16" customHeight="1" x14ac:dyDescent="0.35"/>
  <cols>
    <col min="1" max="1" width="47.54296875" style="11" customWidth="1"/>
    <col min="2" max="2" width="24.54296875" style="11" customWidth="1"/>
    <col min="3" max="10" width="14.26953125" style="11" customWidth="1"/>
    <col min="11" max="11" width="16.81640625" style="11" customWidth="1"/>
    <col min="12" max="12" width="16.54296875" style="11" customWidth="1"/>
    <col min="13" max="13" width="15.1796875" style="11" customWidth="1"/>
    <col min="14" max="16384" width="8.7265625" style="11"/>
  </cols>
  <sheetData>
    <row r="1" spans="1:69" ht="24.65" customHeight="1" x14ac:dyDescent="0.5">
      <c r="A1" s="19" t="s">
        <v>229</v>
      </c>
    </row>
    <row r="2" spans="1:69" ht="16" customHeight="1" x14ac:dyDescent="0.35">
      <c r="A2" s="42" t="s">
        <v>206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row>
    <row r="3" spans="1:69" ht="16" customHeight="1" x14ac:dyDescent="0.35">
      <c r="A3" s="88" t="s">
        <v>345</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row>
    <row r="4" spans="1:69" ht="16" customHeight="1" x14ac:dyDescent="0.35">
      <c r="A4" s="88" t="s">
        <v>346</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row>
    <row r="5" spans="1:69" ht="16" customHeight="1" x14ac:dyDescent="0.35">
      <c r="A5" s="15" t="s">
        <v>371</v>
      </c>
      <c r="B5" s="15"/>
      <c r="C5" s="15"/>
      <c r="D5" s="15"/>
      <c r="E5" s="15"/>
      <c r="F5" s="15"/>
      <c r="G5" s="15"/>
      <c r="H5" s="15"/>
      <c r="I5" s="15"/>
      <c r="J5" s="15"/>
      <c r="K5" s="15"/>
      <c r="L5" s="15"/>
      <c r="M5" s="15"/>
      <c r="N5" s="15"/>
      <c r="O5" s="15"/>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row>
    <row r="6" spans="1:69" ht="84.65" customHeight="1" x14ac:dyDescent="0.35">
      <c r="A6" s="25" t="s">
        <v>179</v>
      </c>
      <c r="B6" s="20" t="s">
        <v>204</v>
      </c>
      <c r="C6" s="20" t="s">
        <v>175</v>
      </c>
      <c r="D6" s="20" t="s">
        <v>197</v>
      </c>
      <c r="E6" s="20" t="s">
        <v>198</v>
      </c>
      <c r="F6" s="20" t="s">
        <v>199</v>
      </c>
      <c r="G6" s="20" t="s">
        <v>200</v>
      </c>
      <c r="H6" s="57" t="s">
        <v>201</v>
      </c>
      <c r="I6" s="25" t="s">
        <v>176</v>
      </c>
      <c r="J6" s="20" t="s">
        <v>177</v>
      </c>
      <c r="K6" s="20" t="s">
        <v>202</v>
      </c>
      <c r="L6" s="58" t="s">
        <v>189</v>
      </c>
      <c r="M6" s="25" t="s">
        <v>178</v>
      </c>
      <c r="N6" s="24"/>
      <c r="O6" s="24"/>
      <c r="P6" s="14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row>
    <row r="7" spans="1:69" s="12" customFormat="1" ht="16" customHeight="1" x14ac:dyDescent="0.35">
      <c r="A7" s="55" t="s">
        <v>5</v>
      </c>
      <c r="B7" s="54">
        <v>17915</v>
      </c>
      <c r="C7" s="54">
        <v>190</v>
      </c>
      <c r="D7" s="54">
        <v>1745</v>
      </c>
      <c r="E7" s="54">
        <v>6670</v>
      </c>
      <c r="F7" s="54">
        <v>4155</v>
      </c>
      <c r="G7" s="54">
        <v>2075</v>
      </c>
      <c r="H7" s="54">
        <v>3075</v>
      </c>
      <c r="I7" s="265">
        <v>8610</v>
      </c>
      <c r="J7" s="54">
        <v>12765</v>
      </c>
      <c r="K7" s="53">
        <v>5150</v>
      </c>
      <c r="L7" s="59">
        <v>0.48</v>
      </c>
      <c r="M7" s="56">
        <v>11</v>
      </c>
      <c r="N7" s="24"/>
      <c r="O7" s="24"/>
      <c r="P7" s="130"/>
      <c r="Q7" s="208"/>
      <c r="R7" s="209"/>
      <c r="S7" s="208"/>
      <c r="T7" s="208"/>
      <c r="U7" s="208"/>
      <c r="V7" s="208"/>
      <c r="W7" s="208"/>
      <c r="X7" s="208"/>
      <c r="Y7" s="208"/>
      <c r="Z7" s="208"/>
      <c r="AA7" s="208"/>
      <c r="AB7" s="20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row>
    <row r="8" spans="1:69" ht="16" customHeight="1" x14ac:dyDescent="0.35">
      <c r="A8" s="26" t="s">
        <v>155</v>
      </c>
      <c r="B8" s="67">
        <v>130</v>
      </c>
      <c r="C8" s="52">
        <v>15</v>
      </c>
      <c r="D8" s="52">
        <v>105</v>
      </c>
      <c r="E8" s="52">
        <v>15</v>
      </c>
      <c r="F8" s="52">
        <v>0</v>
      </c>
      <c r="G8" s="52">
        <v>0</v>
      </c>
      <c r="H8" s="119">
        <v>0</v>
      </c>
      <c r="I8" s="201">
        <v>130</v>
      </c>
      <c r="J8" s="52">
        <v>130</v>
      </c>
      <c r="K8" s="52">
        <v>0</v>
      </c>
      <c r="L8" s="131">
        <v>1</v>
      </c>
      <c r="M8" s="44">
        <v>2</v>
      </c>
      <c r="N8" s="24"/>
      <c r="O8" s="24"/>
      <c r="P8" s="130"/>
      <c r="Q8" s="208"/>
      <c r="R8" s="209"/>
      <c r="S8" s="208"/>
      <c r="T8" s="208"/>
      <c r="U8" s="208"/>
      <c r="V8" s="208"/>
      <c r="W8" s="208"/>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row>
    <row r="9" spans="1:69" s="12" customFormat="1" ht="16" customHeight="1" x14ac:dyDescent="0.35">
      <c r="A9" s="26" t="s">
        <v>156</v>
      </c>
      <c r="B9" s="67">
        <v>460</v>
      </c>
      <c r="C9" s="52">
        <v>5</v>
      </c>
      <c r="D9" s="52">
        <v>110</v>
      </c>
      <c r="E9" s="52">
        <v>235</v>
      </c>
      <c r="F9" s="52">
        <v>65</v>
      </c>
      <c r="G9" s="52">
        <v>35</v>
      </c>
      <c r="H9" s="119">
        <v>15</v>
      </c>
      <c r="I9" s="201">
        <v>350</v>
      </c>
      <c r="J9" s="52">
        <v>415</v>
      </c>
      <c r="K9" s="52">
        <v>45</v>
      </c>
      <c r="L9" s="154">
        <v>0.76</v>
      </c>
      <c r="M9" s="44">
        <v>7</v>
      </c>
      <c r="N9" s="24"/>
      <c r="O9" s="24"/>
      <c r="P9" s="130"/>
      <c r="Q9" s="208"/>
      <c r="R9" s="209"/>
      <c r="S9" s="208"/>
      <c r="T9" s="208"/>
      <c r="U9" s="208"/>
      <c r="V9" s="208"/>
      <c r="W9" s="20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row>
    <row r="10" spans="1:69" ht="16" customHeight="1" x14ac:dyDescent="0.35">
      <c r="A10" s="26" t="s">
        <v>157</v>
      </c>
      <c r="B10" s="67">
        <v>465</v>
      </c>
      <c r="C10" s="52">
        <v>5</v>
      </c>
      <c r="D10" s="52">
        <v>15</v>
      </c>
      <c r="E10" s="52">
        <v>245</v>
      </c>
      <c r="F10" s="52">
        <v>105</v>
      </c>
      <c r="G10" s="52">
        <v>35</v>
      </c>
      <c r="H10" s="119">
        <v>60</v>
      </c>
      <c r="I10" s="201">
        <v>265</v>
      </c>
      <c r="J10" s="52">
        <v>370</v>
      </c>
      <c r="K10" s="52">
        <v>95</v>
      </c>
      <c r="L10" s="154">
        <v>0.56999999999999995</v>
      </c>
      <c r="M10" s="44">
        <v>9</v>
      </c>
      <c r="N10" s="24"/>
      <c r="O10" s="24"/>
      <c r="P10" s="130"/>
      <c r="Q10" s="208"/>
      <c r="R10" s="209"/>
      <c r="S10" s="208"/>
      <c r="T10" s="208"/>
      <c r="U10" s="208"/>
      <c r="V10" s="208"/>
      <c r="W10" s="208"/>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row>
    <row r="11" spans="1:69" ht="16" customHeight="1" x14ac:dyDescent="0.35">
      <c r="A11" s="26" t="s">
        <v>158</v>
      </c>
      <c r="B11" s="67">
        <v>505</v>
      </c>
      <c r="C11" s="52">
        <v>5</v>
      </c>
      <c r="D11" s="52">
        <v>10</v>
      </c>
      <c r="E11" s="52">
        <v>260</v>
      </c>
      <c r="F11" s="52">
        <v>100</v>
      </c>
      <c r="G11" s="52">
        <v>45</v>
      </c>
      <c r="H11" s="119">
        <v>85</v>
      </c>
      <c r="I11" s="201">
        <v>275</v>
      </c>
      <c r="J11" s="52">
        <v>375</v>
      </c>
      <c r="K11" s="52">
        <v>130</v>
      </c>
      <c r="L11" s="154">
        <v>0.54</v>
      </c>
      <c r="M11" s="44">
        <v>10</v>
      </c>
      <c r="N11" s="24"/>
      <c r="O11" s="24"/>
      <c r="P11" s="130"/>
      <c r="Q11" s="208"/>
      <c r="R11" s="209"/>
      <c r="S11" s="208"/>
      <c r="T11" s="208"/>
      <c r="U11" s="208"/>
      <c r="V11" s="208"/>
      <c r="W11" s="208"/>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ht="16" customHeight="1" x14ac:dyDescent="0.35">
      <c r="A12" s="26" t="s">
        <v>159</v>
      </c>
      <c r="B12" s="67">
        <v>680</v>
      </c>
      <c r="C12" s="62" t="s">
        <v>194</v>
      </c>
      <c r="D12" s="52">
        <v>100</v>
      </c>
      <c r="E12" s="52">
        <v>315</v>
      </c>
      <c r="F12" s="52">
        <v>120</v>
      </c>
      <c r="G12" s="52">
        <v>60</v>
      </c>
      <c r="H12" s="119">
        <v>80</v>
      </c>
      <c r="I12" s="201">
        <v>415</v>
      </c>
      <c r="J12" s="52">
        <v>535</v>
      </c>
      <c r="K12" s="52">
        <v>145</v>
      </c>
      <c r="L12" s="154">
        <v>0.61</v>
      </c>
      <c r="M12" s="44">
        <v>9</v>
      </c>
      <c r="N12" s="24"/>
      <c r="O12" s="24"/>
      <c r="P12" s="130"/>
      <c r="Q12" s="208"/>
      <c r="R12" s="209"/>
      <c r="S12" s="208"/>
      <c r="T12" s="208"/>
      <c r="U12" s="208"/>
      <c r="V12" s="208"/>
      <c r="W12" s="208"/>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69" ht="16" customHeight="1" x14ac:dyDescent="0.35">
      <c r="A13" s="26" t="s">
        <v>153</v>
      </c>
      <c r="B13" s="67">
        <v>515</v>
      </c>
      <c r="C13" s="62" t="s">
        <v>194</v>
      </c>
      <c r="D13" s="52">
        <v>25</v>
      </c>
      <c r="E13" s="52">
        <v>280</v>
      </c>
      <c r="F13" s="52">
        <v>80</v>
      </c>
      <c r="G13" s="52">
        <v>45</v>
      </c>
      <c r="H13" s="119">
        <v>80</v>
      </c>
      <c r="I13" s="201">
        <v>310</v>
      </c>
      <c r="J13" s="52">
        <v>390</v>
      </c>
      <c r="K13" s="52">
        <v>125</v>
      </c>
      <c r="L13" s="154">
        <v>0.6</v>
      </c>
      <c r="M13" s="44">
        <v>9</v>
      </c>
      <c r="N13" s="24"/>
      <c r="O13" s="24"/>
      <c r="P13" s="130"/>
      <c r="Q13" s="208"/>
      <c r="R13" s="209"/>
      <c r="S13" s="208"/>
      <c r="T13" s="208"/>
      <c r="U13" s="208"/>
      <c r="V13" s="208"/>
      <c r="W13" s="208"/>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row>
    <row r="14" spans="1:69" ht="16" customHeight="1" x14ac:dyDescent="0.35">
      <c r="A14" s="26" t="s">
        <v>160</v>
      </c>
      <c r="B14" s="67">
        <v>530</v>
      </c>
      <c r="C14" s="52">
        <v>5</v>
      </c>
      <c r="D14" s="52">
        <v>15</v>
      </c>
      <c r="E14" s="52">
        <v>250</v>
      </c>
      <c r="F14" s="52">
        <v>140</v>
      </c>
      <c r="G14" s="52">
        <v>55</v>
      </c>
      <c r="H14" s="119">
        <v>65</v>
      </c>
      <c r="I14" s="201">
        <v>270</v>
      </c>
      <c r="J14" s="52">
        <v>410</v>
      </c>
      <c r="K14" s="52">
        <v>120</v>
      </c>
      <c r="L14" s="154">
        <v>0.51</v>
      </c>
      <c r="M14" s="44">
        <v>10</v>
      </c>
      <c r="N14" s="24"/>
      <c r="O14" s="24"/>
      <c r="P14" s="130"/>
      <c r="Q14" s="208"/>
      <c r="R14" s="209"/>
      <c r="S14" s="208"/>
      <c r="T14" s="208"/>
      <c r="U14" s="208"/>
      <c r="V14" s="208"/>
      <c r="W14" s="208"/>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row>
    <row r="15" spans="1:69" ht="16" customHeight="1" x14ac:dyDescent="0.35">
      <c r="A15" s="26" t="s">
        <v>161</v>
      </c>
      <c r="B15" s="67">
        <v>580</v>
      </c>
      <c r="C15" s="52">
        <v>5</v>
      </c>
      <c r="D15" s="52">
        <v>10</v>
      </c>
      <c r="E15" s="52">
        <v>200</v>
      </c>
      <c r="F15" s="52">
        <v>205</v>
      </c>
      <c r="G15" s="52">
        <v>65</v>
      </c>
      <c r="H15" s="119">
        <v>100</v>
      </c>
      <c r="I15" s="201">
        <v>210</v>
      </c>
      <c r="J15" s="52">
        <v>415</v>
      </c>
      <c r="K15" s="52">
        <v>165</v>
      </c>
      <c r="L15" s="154">
        <v>0.37</v>
      </c>
      <c r="M15" s="44">
        <v>12</v>
      </c>
      <c r="N15" s="24"/>
      <c r="O15" s="24"/>
      <c r="P15" s="130"/>
      <c r="Q15" s="208"/>
      <c r="R15" s="209"/>
      <c r="S15" s="208"/>
      <c r="T15" s="208"/>
      <c r="U15" s="208"/>
      <c r="V15" s="208"/>
      <c r="W15" s="208"/>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row>
    <row r="16" spans="1:69" ht="16" customHeight="1" x14ac:dyDescent="0.35">
      <c r="A16" s="26" t="s">
        <v>162</v>
      </c>
      <c r="B16" s="67">
        <v>630</v>
      </c>
      <c r="C16" s="52">
        <v>5</v>
      </c>
      <c r="D16" s="52">
        <v>15</v>
      </c>
      <c r="E16" s="52">
        <v>215</v>
      </c>
      <c r="F16" s="52">
        <v>240</v>
      </c>
      <c r="G16" s="52">
        <v>75</v>
      </c>
      <c r="H16" s="119">
        <v>80</v>
      </c>
      <c r="I16" s="201">
        <v>230</v>
      </c>
      <c r="J16" s="52">
        <v>475</v>
      </c>
      <c r="K16" s="52">
        <v>155</v>
      </c>
      <c r="L16" s="154">
        <v>0.37</v>
      </c>
      <c r="M16" s="44">
        <v>12</v>
      </c>
      <c r="N16" s="24"/>
      <c r="O16" s="24"/>
      <c r="P16" s="130"/>
      <c r="Q16" s="208"/>
      <c r="R16" s="209"/>
      <c r="S16" s="208"/>
      <c r="T16" s="208"/>
      <c r="U16" s="208"/>
      <c r="V16" s="208"/>
      <c r="W16" s="208"/>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row>
    <row r="17" spans="1:69" ht="16" customHeight="1" x14ac:dyDescent="0.35">
      <c r="A17" s="26" t="s">
        <v>163</v>
      </c>
      <c r="B17" s="67">
        <v>930</v>
      </c>
      <c r="C17" s="52">
        <v>5</v>
      </c>
      <c r="D17" s="52">
        <v>200</v>
      </c>
      <c r="E17" s="52">
        <v>385</v>
      </c>
      <c r="F17" s="52">
        <v>130</v>
      </c>
      <c r="G17" s="52">
        <v>60</v>
      </c>
      <c r="H17" s="119">
        <v>145</v>
      </c>
      <c r="I17" s="201">
        <v>595</v>
      </c>
      <c r="J17" s="52">
        <v>725</v>
      </c>
      <c r="K17" s="52">
        <v>205</v>
      </c>
      <c r="L17" s="154">
        <v>0.64</v>
      </c>
      <c r="M17" s="138">
        <v>8.5</v>
      </c>
      <c r="N17" s="24"/>
      <c r="O17" s="24"/>
      <c r="P17" s="130"/>
      <c r="Q17" s="208"/>
      <c r="R17" s="209"/>
      <c r="S17" s="208"/>
      <c r="T17" s="208"/>
      <c r="U17" s="208"/>
      <c r="V17" s="208"/>
      <c r="W17" s="208"/>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row>
    <row r="18" spans="1:69" ht="16" customHeight="1" x14ac:dyDescent="0.35">
      <c r="A18" s="26" t="s">
        <v>164</v>
      </c>
      <c r="B18" s="67">
        <v>725</v>
      </c>
      <c r="C18" s="52">
        <v>10</v>
      </c>
      <c r="D18" s="52">
        <v>100</v>
      </c>
      <c r="E18" s="52">
        <v>340</v>
      </c>
      <c r="F18" s="52">
        <v>105</v>
      </c>
      <c r="G18" s="52">
        <v>60</v>
      </c>
      <c r="H18" s="119">
        <v>115</v>
      </c>
      <c r="I18" s="201">
        <v>445</v>
      </c>
      <c r="J18" s="52">
        <v>550</v>
      </c>
      <c r="K18" s="52">
        <v>175</v>
      </c>
      <c r="L18" s="154">
        <v>0.62</v>
      </c>
      <c r="M18" s="44">
        <v>9</v>
      </c>
      <c r="N18" s="24"/>
      <c r="O18" s="24"/>
      <c r="P18" s="130"/>
      <c r="Q18" s="208"/>
      <c r="R18" s="209"/>
      <c r="S18" s="208"/>
      <c r="T18" s="208"/>
      <c r="U18" s="208"/>
      <c r="V18" s="208"/>
      <c r="W18" s="208"/>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row>
    <row r="19" spans="1:69" ht="16" customHeight="1" x14ac:dyDescent="0.35">
      <c r="A19" s="26" t="s">
        <v>165</v>
      </c>
      <c r="B19" s="67">
        <v>675</v>
      </c>
      <c r="C19" s="52">
        <v>5</v>
      </c>
      <c r="D19" s="52">
        <v>115</v>
      </c>
      <c r="E19" s="52">
        <v>315</v>
      </c>
      <c r="F19" s="52">
        <v>95</v>
      </c>
      <c r="G19" s="52">
        <v>50</v>
      </c>
      <c r="H19" s="119">
        <v>90</v>
      </c>
      <c r="I19" s="201">
        <v>435</v>
      </c>
      <c r="J19" s="52">
        <v>530</v>
      </c>
      <c r="K19" s="52">
        <v>145</v>
      </c>
      <c r="L19" s="154">
        <v>0.64</v>
      </c>
      <c r="M19" s="44">
        <v>8</v>
      </c>
      <c r="N19" s="24"/>
      <c r="O19" s="24"/>
      <c r="P19" s="130"/>
      <c r="Q19" s="208"/>
      <c r="R19" s="209"/>
      <c r="S19" s="208"/>
      <c r="T19" s="208"/>
      <c r="U19" s="208"/>
      <c r="V19" s="208"/>
      <c r="W19" s="208"/>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row>
    <row r="20" spans="1:69" s="14" customFormat="1" ht="16" customHeight="1" x14ac:dyDescent="0.35">
      <c r="A20" s="26" t="s">
        <v>166</v>
      </c>
      <c r="B20" s="67">
        <v>630</v>
      </c>
      <c r="C20" s="52">
        <v>5</v>
      </c>
      <c r="D20" s="52">
        <v>100</v>
      </c>
      <c r="E20" s="52">
        <v>270</v>
      </c>
      <c r="F20" s="52">
        <v>90</v>
      </c>
      <c r="G20" s="52">
        <v>55</v>
      </c>
      <c r="H20" s="119">
        <v>110</v>
      </c>
      <c r="I20" s="201">
        <v>380</v>
      </c>
      <c r="J20" s="52">
        <v>470</v>
      </c>
      <c r="K20" s="52">
        <v>165</v>
      </c>
      <c r="L20" s="154">
        <v>0.6</v>
      </c>
      <c r="M20" s="44">
        <v>8</v>
      </c>
      <c r="N20" s="24"/>
      <c r="O20" s="24"/>
      <c r="P20" s="130"/>
      <c r="Q20" s="208"/>
      <c r="R20" s="209"/>
      <c r="S20" s="208"/>
      <c r="T20" s="208"/>
      <c r="U20" s="208"/>
      <c r="V20" s="208"/>
      <c r="W20" s="208"/>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row>
    <row r="21" spans="1:69" s="14" customFormat="1" ht="16" customHeight="1" x14ac:dyDescent="0.35">
      <c r="A21" s="26" t="s">
        <v>167</v>
      </c>
      <c r="B21" s="67">
        <v>630</v>
      </c>
      <c r="C21" s="52">
        <v>5</v>
      </c>
      <c r="D21" s="52">
        <v>85</v>
      </c>
      <c r="E21" s="52">
        <v>280</v>
      </c>
      <c r="F21" s="52">
        <v>90</v>
      </c>
      <c r="G21" s="52">
        <v>55</v>
      </c>
      <c r="H21" s="119">
        <v>110</v>
      </c>
      <c r="I21" s="201">
        <v>375</v>
      </c>
      <c r="J21" s="52">
        <v>465</v>
      </c>
      <c r="K21" s="52">
        <v>165</v>
      </c>
      <c r="L21" s="154">
        <v>0.59</v>
      </c>
      <c r="M21" s="44">
        <v>9</v>
      </c>
      <c r="N21" s="24"/>
      <c r="O21" s="24"/>
      <c r="P21" s="130"/>
      <c r="Q21" s="208"/>
      <c r="R21" s="209"/>
      <c r="S21" s="208"/>
      <c r="T21" s="208"/>
      <c r="U21" s="208"/>
      <c r="V21" s="208"/>
      <c r="W21" s="208"/>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row>
    <row r="22" spans="1:69" ht="16" customHeight="1" x14ac:dyDescent="0.35">
      <c r="A22" s="26" t="s">
        <v>168</v>
      </c>
      <c r="B22" s="67">
        <v>670</v>
      </c>
      <c r="C22" s="52">
        <v>10</v>
      </c>
      <c r="D22" s="52">
        <v>85</v>
      </c>
      <c r="E22" s="52">
        <v>325</v>
      </c>
      <c r="F22" s="52">
        <v>105</v>
      </c>
      <c r="G22" s="52">
        <v>40</v>
      </c>
      <c r="H22" s="119">
        <v>105</v>
      </c>
      <c r="I22" s="201">
        <v>420</v>
      </c>
      <c r="J22" s="52">
        <v>525</v>
      </c>
      <c r="K22" s="52">
        <v>145</v>
      </c>
      <c r="L22" s="154">
        <v>0.63</v>
      </c>
      <c r="M22" s="44">
        <v>8</v>
      </c>
      <c r="N22" s="24"/>
      <c r="O22" s="24"/>
      <c r="P22" s="130"/>
      <c r="Q22" s="208"/>
      <c r="R22" s="209"/>
      <c r="S22" s="208"/>
      <c r="T22" s="208"/>
      <c r="U22" s="208"/>
      <c r="V22" s="208"/>
      <c r="W22" s="208"/>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row>
    <row r="23" spans="1:69" ht="16" customHeight="1" x14ac:dyDescent="0.35">
      <c r="A23" s="26" t="s">
        <v>169</v>
      </c>
      <c r="B23" s="67">
        <v>620</v>
      </c>
      <c r="C23" s="52">
        <v>5</v>
      </c>
      <c r="D23" s="52">
        <v>20</v>
      </c>
      <c r="E23" s="52">
        <v>330</v>
      </c>
      <c r="F23" s="52">
        <v>125</v>
      </c>
      <c r="G23" s="52">
        <v>50</v>
      </c>
      <c r="H23" s="119">
        <v>90</v>
      </c>
      <c r="I23" s="201">
        <v>360</v>
      </c>
      <c r="J23" s="52">
        <v>480</v>
      </c>
      <c r="K23" s="52">
        <v>140</v>
      </c>
      <c r="L23" s="154">
        <v>0.57999999999999996</v>
      </c>
      <c r="M23" s="44">
        <v>10</v>
      </c>
      <c r="N23" s="24"/>
      <c r="O23" s="24"/>
      <c r="P23" s="130"/>
      <c r="Q23" s="208"/>
      <c r="R23" s="209"/>
      <c r="S23" s="208"/>
      <c r="T23" s="208"/>
      <c r="U23" s="208"/>
      <c r="V23" s="208"/>
      <c r="W23" s="208"/>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row>
    <row r="24" spans="1:69" ht="16" customHeight="1" x14ac:dyDescent="0.35">
      <c r="A24" s="26" t="s">
        <v>170</v>
      </c>
      <c r="B24" s="67">
        <v>770</v>
      </c>
      <c r="C24" s="52">
        <v>5</v>
      </c>
      <c r="D24" s="52">
        <v>25</v>
      </c>
      <c r="E24" s="52">
        <v>350</v>
      </c>
      <c r="F24" s="52">
        <v>200</v>
      </c>
      <c r="G24" s="52">
        <v>70</v>
      </c>
      <c r="H24" s="119">
        <v>120</v>
      </c>
      <c r="I24" s="201">
        <v>380</v>
      </c>
      <c r="J24" s="52">
        <v>580</v>
      </c>
      <c r="K24" s="52">
        <v>190</v>
      </c>
      <c r="L24" s="154">
        <v>0.49</v>
      </c>
      <c r="M24" s="44">
        <v>11</v>
      </c>
      <c r="N24" s="24"/>
      <c r="O24" s="24"/>
      <c r="P24" s="130"/>
      <c r="Q24" s="208"/>
      <c r="R24" s="209"/>
      <c r="S24" s="208"/>
      <c r="T24" s="208"/>
      <c r="U24" s="208"/>
      <c r="V24" s="208"/>
      <c r="W24" s="208"/>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row>
    <row r="25" spans="1:69" ht="16" customHeight="1" x14ac:dyDescent="0.35">
      <c r="A25" s="26" t="s">
        <v>154</v>
      </c>
      <c r="B25" s="67">
        <v>735</v>
      </c>
      <c r="C25" s="52">
        <v>10</v>
      </c>
      <c r="D25" s="52">
        <v>25</v>
      </c>
      <c r="E25" s="52">
        <v>200</v>
      </c>
      <c r="F25" s="52">
        <v>285</v>
      </c>
      <c r="G25" s="52">
        <v>80</v>
      </c>
      <c r="H25" s="119">
        <v>140</v>
      </c>
      <c r="I25" s="201">
        <v>235</v>
      </c>
      <c r="J25" s="52">
        <v>520</v>
      </c>
      <c r="K25" s="52">
        <v>220</v>
      </c>
      <c r="L25" s="154">
        <v>0.32</v>
      </c>
      <c r="M25" s="44">
        <v>12</v>
      </c>
      <c r="N25" s="24"/>
      <c r="O25" s="24"/>
      <c r="P25" s="130"/>
      <c r="Q25" s="208"/>
      <c r="R25" s="209"/>
      <c r="S25" s="208"/>
      <c r="T25" s="208"/>
      <c r="U25" s="208"/>
      <c r="V25" s="208"/>
      <c r="W25" s="208"/>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row>
    <row r="26" spans="1:69" ht="16" customHeight="1" x14ac:dyDescent="0.35">
      <c r="A26" s="26" t="s">
        <v>171</v>
      </c>
      <c r="B26" s="67">
        <v>945</v>
      </c>
      <c r="C26" s="52">
        <v>10</v>
      </c>
      <c r="D26" s="52">
        <v>45</v>
      </c>
      <c r="E26" s="52">
        <v>335</v>
      </c>
      <c r="F26" s="52">
        <v>295</v>
      </c>
      <c r="G26" s="52">
        <v>110</v>
      </c>
      <c r="H26" s="119">
        <v>155</v>
      </c>
      <c r="I26" s="201">
        <v>395</v>
      </c>
      <c r="J26" s="52">
        <v>685</v>
      </c>
      <c r="K26" s="52">
        <v>260</v>
      </c>
      <c r="L26" s="154">
        <v>0.41</v>
      </c>
      <c r="M26" s="44">
        <v>11</v>
      </c>
      <c r="N26" s="24"/>
      <c r="O26" s="24"/>
      <c r="P26" s="130"/>
      <c r="Q26" s="208"/>
      <c r="R26" s="209"/>
      <c r="S26" s="208"/>
      <c r="T26" s="208"/>
      <c r="U26" s="208"/>
      <c r="V26" s="208"/>
      <c r="W26" s="208"/>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row>
    <row r="27" spans="1:69" ht="16" customHeight="1" x14ac:dyDescent="0.35">
      <c r="A27" s="26" t="s">
        <v>172</v>
      </c>
      <c r="B27" s="67">
        <v>750</v>
      </c>
      <c r="C27" s="52">
        <v>15</v>
      </c>
      <c r="D27" s="52">
        <v>110</v>
      </c>
      <c r="E27" s="52">
        <v>310</v>
      </c>
      <c r="F27" s="52">
        <v>90</v>
      </c>
      <c r="G27" s="52">
        <v>65</v>
      </c>
      <c r="H27" s="119">
        <v>160</v>
      </c>
      <c r="I27" s="201">
        <v>435</v>
      </c>
      <c r="J27" s="52">
        <v>525</v>
      </c>
      <c r="K27" s="52">
        <v>225</v>
      </c>
      <c r="L27" s="154">
        <v>0.57999999999999996</v>
      </c>
      <c r="M27" s="44">
        <v>9</v>
      </c>
      <c r="N27" s="24"/>
      <c r="O27" s="24"/>
      <c r="P27" s="130"/>
      <c r="Q27" s="208"/>
      <c r="R27" s="209"/>
      <c r="S27" s="208"/>
      <c r="T27" s="208"/>
      <c r="U27" s="208"/>
      <c r="V27" s="208"/>
      <c r="W27" s="208"/>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row>
    <row r="28" spans="1:69" ht="16" customHeight="1" x14ac:dyDescent="0.35">
      <c r="A28" s="26" t="s">
        <v>173</v>
      </c>
      <c r="B28" s="119">
        <v>515</v>
      </c>
      <c r="C28" s="52">
        <v>5</v>
      </c>
      <c r="D28" s="52">
        <v>20</v>
      </c>
      <c r="E28" s="52">
        <v>210</v>
      </c>
      <c r="F28" s="119">
        <v>115</v>
      </c>
      <c r="G28" s="119">
        <v>55</v>
      </c>
      <c r="H28" s="119">
        <v>110</v>
      </c>
      <c r="I28" s="201">
        <v>235</v>
      </c>
      <c r="J28" s="119">
        <v>350</v>
      </c>
      <c r="K28" s="52">
        <v>165</v>
      </c>
      <c r="L28" s="154">
        <v>0.46</v>
      </c>
      <c r="M28" s="121">
        <v>11</v>
      </c>
      <c r="N28" s="24"/>
      <c r="O28" s="24"/>
      <c r="P28" s="130"/>
      <c r="Q28" s="208"/>
      <c r="R28" s="209"/>
      <c r="S28" s="208"/>
      <c r="T28" s="208"/>
      <c r="U28" s="208"/>
      <c r="V28" s="208"/>
      <c r="W28" s="208"/>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row>
    <row r="29" spans="1:69" ht="16" customHeight="1" x14ac:dyDescent="0.35">
      <c r="A29" s="80" t="s">
        <v>223</v>
      </c>
      <c r="B29" s="52">
        <v>680</v>
      </c>
      <c r="C29" s="52">
        <v>10</v>
      </c>
      <c r="D29" s="52">
        <v>20</v>
      </c>
      <c r="E29" s="52">
        <v>30</v>
      </c>
      <c r="F29" s="52">
        <v>380</v>
      </c>
      <c r="G29" s="52">
        <v>90</v>
      </c>
      <c r="H29" s="52">
        <v>150</v>
      </c>
      <c r="I29" s="120">
        <v>60</v>
      </c>
      <c r="J29" s="119">
        <v>440</v>
      </c>
      <c r="K29" s="52">
        <v>240</v>
      </c>
      <c r="L29" s="38">
        <v>0.09</v>
      </c>
      <c r="M29" s="121">
        <v>14</v>
      </c>
      <c r="N29" s="24"/>
      <c r="O29" s="24"/>
      <c r="P29" s="130"/>
      <c r="Q29" s="208"/>
      <c r="R29" s="209"/>
      <c r="S29" s="208"/>
      <c r="T29" s="208"/>
      <c r="U29" s="208"/>
      <c r="V29" s="208"/>
      <c r="W29" s="208"/>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row>
    <row r="30" spans="1:69" ht="16" customHeight="1" x14ac:dyDescent="0.35">
      <c r="A30" s="80" t="s">
        <v>334</v>
      </c>
      <c r="B30" s="52">
        <v>805</v>
      </c>
      <c r="C30" s="52">
        <v>5</v>
      </c>
      <c r="D30" s="52">
        <v>20</v>
      </c>
      <c r="E30" s="52">
        <v>185</v>
      </c>
      <c r="F30" s="52">
        <v>280</v>
      </c>
      <c r="G30" s="52">
        <v>145</v>
      </c>
      <c r="H30" s="52">
        <v>170</v>
      </c>
      <c r="I30" s="120">
        <v>215</v>
      </c>
      <c r="J30" s="52">
        <v>490</v>
      </c>
      <c r="K30" s="52">
        <v>310</v>
      </c>
      <c r="L30" s="38">
        <v>0.27</v>
      </c>
      <c r="M30" s="121">
        <v>14</v>
      </c>
      <c r="N30" s="24"/>
      <c r="O30" s="24"/>
      <c r="P30" s="144"/>
      <c r="Q30" s="208"/>
      <c r="R30" s="209"/>
      <c r="S30" s="208"/>
      <c r="T30" s="208"/>
      <c r="U30" s="208"/>
      <c r="V30" s="208"/>
      <c r="W30" s="208"/>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row>
    <row r="31" spans="1:69" ht="16" customHeight="1" x14ac:dyDescent="0.35">
      <c r="A31" s="80" t="s">
        <v>335</v>
      </c>
      <c r="B31" s="52">
        <v>750</v>
      </c>
      <c r="C31" s="52">
        <v>10</v>
      </c>
      <c r="D31" s="52">
        <v>75</v>
      </c>
      <c r="E31" s="52">
        <v>315</v>
      </c>
      <c r="F31" s="52">
        <v>145</v>
      </c>
      <c r="G31" s="52">
        <v>70</v>
      </c>
      <c r="H31" s="52">
        <v>135</v>
      </c>
      <c r="I31" s="120">
        <v>400</v>
      </c>
      <c r="J31" s="52">
        <v>545</v>
      </c>
      <c r="K31" s="52">
        <v>205</v>
      </c>
      <c r="L31" s="38">
        <v>0.53</v>
      </c>
      <c r="M31" s="121">
        <v>10</v>
      </c>
      <c r="N31" s="24"/>
      <c r="O31" s="24"/>
      <c r="P31" s="24"/>
      <c r="Q31" s="208"/>
      <c r="R31" s="209"/>
      <c r="S31" s="208"/>
      <c r="T31" s="208"/>
      <c r="U31" s="208"/>
      <c r="V31" s="208"/>
      <c r="W31" s="208"/>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row>
    <row r="32" spans="1:69" ht="16" customHeight="1" x14ac:dyDescent="0.35">
      <c r="A32" s="80" t="s">
        <v>336</v>
      </c>
      <c r="B32" s="52">
        <v>740</v>
      </c>
      <c r="C32" s="52">
        <v>10</v>
      </c>
      <c r="D32" s="52">
        <v>225</v>
      </c>
      <c r="E32" s="52">
        <v>270</v>
      </c>
      <c r="F32" s="52">
        <v>75</v>
      </c>
      <c r="G32" s="52">
        <v>45</v>
      </c>
      <c r="H32" s="52">
        <v>115</v>
      </c>
      <c r="I32" s="120">
        <v>505</v>
      </c>
      <c r="J32" s="52">
        <v>580</v>
      </c>
      <c r="K32" s="52">
        <v>160</v>
      </c>
      <c r="L32" s="38">
        <v>0.68</v>
      </c>
      <c r="M32" s="121">
        <v>8</v>
      </c>
      <c r="N32" s="24"/>
      <c r="O32" s="24"/>
      <c r="P32" s="24"/>
      <c r="Q32" s="208"/>
      <c r="R32" s="209"/>
      <c r="S32" s="208"/>
      <c r="T32" s="208"/>
      <c r="U32" s="208"/>
      <c r="V32" s="208"/>
      <c r="W32" s="208"/>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row>
    <row r="33" spans="1:69" ht="16" customHeight="1" x14ac:dyDescent="0.35">
      <c r="A33" s="195" t="s">
        <v>366</v>
      </c>
      <c r="B33" s="62">
        <v>545</v>
      </c>
      <c r="C33" s="62">
        <v>5</v>
      </c>
      <c r="D33" s="62">
        <v>30</v>
      </c>
      <c r="E33" s="62">
        <v>180</v>
      </c>
      <c r="F33" s="62">
        <v>165</v>
      </c>
      <c r="G33" s="137">
        <v>55</v>
      </c>
      <c r="H33" s="253">
        <v>105</v>
      </c>
      <c r="I33" s="62">
        <v>215</v>
      </c>
      <c r="J33" s="62">
        <v>380</v>
      </c>
      <c r="K33" s="62">
        <v>160</v>
      </c>
      <c r="L33" s="254">
        <v>0.4</v>
      </c>
      <c r="M33" s="121">
        <v>11</v>
      </c>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row>
    <row r="34" spans="1:69" ht="16" customHeight="1" x14ac:dyDescent="0.35">
      <c r="A34" s="195" t="s">
        <v>367</v>
      </c>
      <c r="B34" s="62">
        <v>615</v>
      </c>
      <c r="C34" s="62">
        <v>15</v>
      </c>
      <c r="D34" s="62">
        <v>20</v>
      </c>
      <c r="E34" s="62">
        <v>10</v>
      </c>
      <c r="F34" s="62">
        <v>240</v>
      </c>
      <c r="G34" s="137">
        <v>180</v>
      </c>
      <c r="H34" s="253">
        <v>155</v>
      </c>
      <c r="I34" s="62">
        <v>45</v>
      </c>
      <c r="J34" s="62">
        <v>285</v>
      </c>
      <c r="K34" s="62">
        <v>335</v>
      </c>
      <c r="L34" s="254">
        <v>7.0000000000000007E-2</v>
      </c>
      <c r="M34" s="121">
        <v>16</v>
      </c>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row>
    <row r="35" spans="1:69" thickBot="1" x14ac:dyDescent="0.4">
      <c r="A35" s="114" t="s">
        <v>368</v>
      </c>
      <c r="B35" s="62">
        <v>670</v>
      </c>
      <c r="C35" s="62">
        <v>5</v>
      </c>
      <c r="D35" s="62">
        <v>20</v>
      </c>
      <c r="E35" s="62">
        <v>10</v>
      </c>
      <c r="F35" s="62">
        <v>85</v>
      </c>
      <c r="G35" s="137">
        <v>330</v>
      </c>
      <c r="H35" s="253">
        <v>220</v>
      </c>
      <c r="I35" s="62">
        <v>35</v>
      </c>
      <c r="J35" s="62">
        <v>120</v>
      </c>
      <c r="K35" s="62">
        <v>550</v>
      </c>
      <c r="L35" s="255">
        <v>0.05</v>
      </c>
      <c r="M35" s="121">
        <v>18</v>
      </c>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row>
    <row r="36" spans="1:69" ht="16.5" customHeight="1" thickTop="1" x14ac:dyDescent="0.35">
      <c r="A36" s="202" t="s">
        <v>282</v>
      </c>
      <c r="B36" s="203">
        <v>1</v>
      </c>
      <c r="C36" s="203">
        <v>0.01</v>
      </c>
      <c r="D36" s="203">
        <v>0.1</v>
      </c>
      <c r="E36" s="203">
        <v>0.37</v>
      </c>
      <c r="F36" s="203">
        <v>0.23</v>
      </c>
      <c r="G36" s="203">
        <v>0.12</v>
      </c>
      <c r="H36" s="203">
        <v>0.17</v>
      </c>
      <c r="I36" s="205">
        <v>0.48</v>
      </c>
      <c r="J36" s="206">
        <v>0.71</v>
      </c>
      <c r="K36" s="204">
        <v>0.28999999999999998</v>
      </c>
      <c r="L36" s="207" t="s">
        <v>325</v>
      </c>
      <c r="M36" s="205" t="s">
        <v>325</v>
      </c>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row>
    <row r="37" spans="1:69" ht="16" customHeight="1" x14ac:dyDescent="0.35">
      <c r="A37" s="150" t="s">
        <v>7</v>
      </c>
      <c r="B37" s="24"/>
      <c r="C37" s="24"/>
      <c r="D37" s="24"/>
      <c r="E37" s="24"/>
      <c r="F37" s="24"/>
      <c r="G37" s="24"/>
      <c r="H37" s="24"/>
      <c r="I37" s="24"/>
      <c r="J37" s="24"/>
      <c r="K37" s="24"/>
      <c r="L37" s="151"/>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row>
    <row r="38" spans="1:69" ht="16" customHeight="1" x14ac:dyDescent="0.35">
      <c r="A38" s="80" t="s">
        <v>352</v>
      </c>
      <c r="B38" s="24"/>
      <c r="C38" s="24"/>
      <c r="D38" s="24"/>
      <c r="E38" s="24"/>
      <c r="F38" s="24"/>
      <c r="G38" s="24"/>
      <c r="H38" s="24"/>
      <c r="I38" s="24"/>
      <c r="J38" s="24"/>
      <c r="K38" s="24"/>
      <c r="L38" s="151"/>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row>
    <row r="39" spans="1:69" ht="231" customHeight="1" x14ac:dyDescent="0.35">
      <c r="A39" s="164" t="s">
        <v>376</v>
      </c>
      <c r="B39" s="24"/>
      <c r="C39" s="24"/>
      <c r="D39" s="24"/>
      <c r="E39" s="24"/>
      <c r="F39" s="24"/>
      <c r="G39" s="24"/>
      <c r="H39" s="24"/>
      <c r="I39" s="24"/>
      <c r="J39" s="24"/>
      <c r="K39" s="24"/>
      <c r="L39" s="151"/>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row>
    <row r="40" spans="1:69" ht="16" customHeight="1" x14ac:dyDescent="0.35">
      <c r="A40" s="152" t="s">
        <v>232</v>
      </c>
      <c r="B40" s="24"/>
      <c r="C40" s="24"/>
      <c r="D40" s="24"/>
      <c r="E40" s="24"/>
      <c r="F40" s="24"/>
      <c r="G40" s="24"/>
      <c r="H40" s="24"/>
      <c r="I40" s="24"/>
      <c r="J40" s="24"/>
      <c r="K40" s="24"/>
      <c r="L40" s="151"/>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row>
    <row r="41" spans="1:69" ht="16" customHeight="1" x14ac:dyDescent="0.35">
      <c r="A41" s="150" t="s">
        <v>361</v>
      </c>
      <c r="B41" s="24"/>
      <c r="C41" s="24"/>
      <c r="D41" s="24"/>
      <c r="E41" s="24"/>
      <c r="F41" s="24"/>
      <c r="G41" s="24"/>
      <c r="H41" s="24"/>
      <c r="I41" s="24"/>
      <c r="J41" s="24"/>
      <c r="K41" s="24"/>
      <c r="L41" s="151"/>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row>
    <row r="42" spans="1:69" ht="16" customHeight="1" x14ac:dyDescent="0.35">
      <c r="A42" s="150" t="s">
        <v>233</v>
      </c>
      <c r="B42" s="24"/>
      <c r="C42" s="24"/>
      <c r="D42" s="24"/>
      <c r="E42" s="24"/>
      <c r="F42" s="24"/>
      <c r="G42" s="24"/>
      <c r="H42" s="24"/>
      <c r="I42" s="24"/>
      <c r="J42" s="24"/>
      <c r="K42" s="24"/>
      <c r="L42" s="151"/>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row>
    <row r="43" spans="1:69" ht="16" customHeight="1" x14ac:dyDescent="0.35">
      <c r="A43" s="24"/>
      <c r="B43" s="24"/>
      <c r="C43" s="24"/>
      <c r="D43" s="24"/>
      <c r="E43" s="24"/>
      <c r="F43" s="24"/>
      <c r="G43" s="24"/>
      <c r="H43" s="24"/>
      <c r="I43" s="24"/>
      <c r="J43" s="24"/>
      <c r="K43" s="24"/>
      <c r="L43" s="151"/>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row>
    <row r="44" spans="1:69" ht="16" customHeight="1" x14ac:dyDescent="0.35">
      <c r="A44" s="24"/>
      <c r="B44" s="153"/>
      <c r="C44" s="153"/>
      <c r="D44" s="153"/>
      <c r="E44" s="153"/>
      <c r="F44" s="153"/>
      <c r="G44" s="153"/>
      <c r="H44" s="153"/>
      <c r="I44" s="24"/>
      <c r="J44" s="24"/>
      <c r="K44" s="24"/>
      <c r="L44" s="151"/>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row>
    <row r="45" spans="1:69" ht="16" customHeight="1" x14ac:dyDescent="0.35">
      <c r="A45" s="24"/>
      <c r="B45" s="153"/>
      <c r="C45" s="153"/>
      <c r="D45" s="153"/>
      <c r="E45" s="153"/>
      <c r="F45" s="153"/>
      <c r="G45" s="153"/>
      <c r="H45" s="153"/>
      <c r="I45" s="24"/>
      <c r="J45" s="24"/>
      <c r="K45" s="24"/>
      <c r="L45" s="151"/>
      <c r="M45" s="24"/>
    </row>
    <row r="46" spans="1:69" ht="16" customHeight="1" x14ac:dyDescent="0.35">
      <c r="A46" s="24"/>
      <c r="B46" s="153"/>
      <c r="C46" s="153"/>
      <c r="D46" s="153"/>
      <c r="E46" s="153"/>
      <c r="F46" s="153"/>
      <c r="G46" s="153"/>
      <c r="H46" s="153"/>
      <c r="I46" s="24"/>
      <c r="J46" s="24"/>
      <c r="K46" s="24"/>
      <c r="L46" s="151"/>
      <c r="M46" s="24"/>
    </row>
    <row r="47" spans="1:69" ht="16" customHeight="1" x14ac:dyDescent="0.35">
      <c r="A47" s="24"/>
      <c r="B47" s="153"/>
      <c r="C47" s="153"/>
      <c r="D47" s="153"/>
      <c r="E47" s="153"/>
      <c r="F47" s="153"/>
      <c r="G47" s="153"/>
      <c r="H47" s="153"/>
      <c r="I47" s="24"/>
      <c r="J47" s="24"/>
      <c r="K47" s="24"/>
      <c r="L47" s="151"/>
      <c r="M47" s="24"/>
    </row>
    <row r="48" spans="1:69" ht="16" customHeight="1" x14ac:dyDescent="0.35">
      <c r="A48" s="24"/>
      <c r="B48" s="153"/>
      <c r="C48" s="153"/>
      <c r="D48" s="153"/>
      <c r="E48" s="153"/>
      <c r="F48" s="153"/>
      <c r="G48" s="153"/>
      <c r="H48" s="153"/>
      <c r="I48" s="24"/>
      <c r="J48" s="24"/>
      <c r="K48" s="24"/>
      <c r="L48" s="151"/>
      <c r="M48" s="24"/>
    </row>
    <row r="49" spans="1:13" ht="16" customHeight="1" x14ac:dyDescent="0.35">
      <c r="A49" s="24"/>
      <c r="B49" s="153"/>
      <c r="C49" s="153"/>
      <c r="D49" s="153"/>
      <c r="E49" s="153"/>
      <c r="F49" s="153"/>
      <c r="G49" s="153"/>
      <c r="H49" s="153"/>
      <c r="I49" s="24"/>
      <c r="J49" s="24"/>
      <c r="K49" s="24"/>
      <c r="L49" s="151"/>
      <c r="M49" s="24"/>
    </row>
    <row r="50" spans="1:13" ht="16" customHeight="1" x14ac:dyDescent="0.35">
      <c r="A50" s="24"/>
      <c r="B50" s="153"/>
      <c r="C50" s="153"/>
      <c r="D50" s="153"/>
      <c r="E50" s="153"/>
      <c r="F50" s="153"/>
      <c r="G50" s="153"/>
      <c r="H50" s="153"/>
      <c r="I50" s="24"/>
      <c r="J50" s="24"/>
      <c r="K50" s="24"/>
      <c r="L50" s="151"/>
      <c r="M50" s="24"/>
    </row>
    <row r="51" spans="1:13" ht="16" customHeight="1" x14ac:dyDescent="0.35">
      <c r="B51" s="4"/>
      <c r="C51" s="4"/>
      <c r="D51" s="4"/>
      <c r="E51" s="4"/>
      <c r="F51" s="4"/>
      <c r="G51" s="4"/>
      <c r="H51" s="4"/>
      <c r="L51" s="60"/>
    </row>
    <row r="52" spans="1:13" ht="16" customHeight="1" x14ac:dyDescent="0.35">
      <c r="B52" s="4"/>
      <c r="C52" s="4"/>
      <c r="D52" s="4"/>
      <c r="E52" s="4"/>
      <c r="F52" s="4"/>
      <c r="G52" s="4"/>
      <c r="H52" s="4"/>
      <c r="L52" s="60"/>
    </row>
    <row r="53" spans="1:13" ht="16" customHeight="1" x14ac:dyDescent="0.35">
      <c r="B53" s="4"/>
      <c r="C53" s="4"/>
      <c r="D53" s="4"/>
      <c r="E53" s="4"/>
      <c r="F53" s="4"/>
      <c r="G53" s="4"/>
      <c r="H53" s="4"/>
      <c r="L53" s="60"/>
    </row>
    <row r="54" spans="1:13" ht="16" customHeight="1" x14ac:dyDescent="0.35">
      <c r="B54" s="4"/>
      <c r="C54" s="4"/>
      <c r="D54" s="4"/>
      <c r="E54" s="4"/>
      <c r="F54" s="4"/>
      <c r="G54" s="4"/>
      <c r="H54" s="4"/>
      <c r="L54" s="60"/>
    </row>
    <row r="55" spans="1:13" ht="16" customHeight="1" x14ac:dyDescent="0.35">
      <c r="B55" s="4"/>
      <c r="C55" s="4"/>
      <c r="D55" s="4"/>
      <c r="E55" s="4"/>
      <c r="F55" s="4"/>
      <c r="G55" s="4"/>
      <c r="H55" s="4"/>
      <c r="L55" s="60"/>
    </row>
    <row r="56" spans="1:13" ht="16" customHeight="1" x14ac:dyDescent="0.35">
      <c r="B56" s="4"/>
      <c r="C56" s="4"/>
      <c r="D56" s="4"/>
      <c r="E56" s="4"/>
      <c r="F56" s="4"/>
      <c r="G56" s="4"/>
      <c r="H56" s="4"/>
      <c r="L56" s="60"/>
    </row>
    <row r="57" spans="1:13" ht="16" customHeight="1" x14ac:dyDescent="0.35">
      <c r="B57" s="4"/>
      <c r="C57" s="4"/>
      <c r="D57" s="4"/>
      <c r="E57" s="4"/>
      <c r="F57" s="4"/>
      <c r="G57" s="4"/>
      <c r="H57" s="4"/>
      <c r="L57" s="60"/>
    </row>
    <row r="58" spans="1:13" ht="16" customHeight="1" x14ac:dyDescent="0.35">
      <c r="B58" s="4"/>
      <c r="C58" s="4"/>
      <c r="D58" s="4"/>
      <c r="E58" s="4"/>
      <c r="F58" s="4"/>
      <c r="G58" s="4"/>
      <c r="H58" s="4"/>
      <c r="L58" s="60"/>
    </row>
    <row r="59" spans="1:13" ht="16" customHeight="1" x14ac:dyDescent="0.35">
      <c r="B59" s="4"/>
      <c r="C59" s="4"/>
      <c r="D59" s="4"/>
      <c r="E59" s="4"/>
      <c r="F59" s="4"/>
      <c r="G59" s="4"/>
      <c r="H59" s="4"/>
    </row>
    <row r="60" spans="1:13" ht="16" customHeight="1" x14ac:dyDescent="0.35">
      <c r="B60" s="4"/>
      <c r="C60" s="4"/>
      <c r="D60" s="4"/>
      <c r="E60" s="4"/>
      <c r="F60" s="4"/>
      <c r="G60" s="4"/>
      <c r="H60" s="4"/>
    </row>
    <row r="61" spans="1:13" ht="16" customHeight="1" x14ac:dyDescent="0.35">
      <c r="B61" s="4"/>
      <c r="C61" s="4"/>
      <c r="D61" s="4"/>
      <c r="E61" s="4"/>
      <c r="F61" s="4"/>
      <c r="G61" s="4"/>
      <c r="H61" s="4"/>
    </row>
    <row r="62" spans="1:13" ht="16" customHeight="1" x14ac:dyDescent="0.35">
      <c r="B62" s="4"/>
      <c r="C62" s="4"/>
      <c r="D62" s="4"/>
      <c r="E62" s="4"/>
      <c r="F62" s="4"/>
      <c r="G62" s="4"/>
      <c r="H62" s="4"/>
    </row>
    <row r="63" spans="1:13" ht="16" customHeight="1" x14ac:dyDescent="0.35">
      <c r="B63" s="4"/>
      <c r="C63" s="4"/>
      <c r="D63" s="4"/>
      <c r="E63" s="4"/>
      <c r="F63" s="4"/>
      <c r="G63" s="4"/>
      <c r="H63" s="4"/>
    </row>
    <row r="64" spans="1:13" ht="16" customHeight="1" x14ac:dyDescent="0.35">
      <c r="B64" s="4"/>
      <c r="C64" s="4"/>
      <c r="D64" s="4"/>
      <c r="E64" s="4"/>
      <c r="F64" s="4"/>
      <c r="G64" s="4"/>
      <c r="H64" s="4"/>
    </row>
    <row r="65" spans="2:8" ht="16" customHeight="1" x14ac:dyDescent="0.35">
      <c r="B65" s="4"/>
      <c r="C65" s="4"/>
      <c r="D65" s="4"/>
      <c r="E65" s="4"/>
      <c r="F65" s="4"/>
      <c r="G65" s="4"/>
      <c r="H65" s="4"/>
    </row>
    <row r="66" spans="2:8" ht="16" customHeight="1" x14ac:dyDescent="0.35">
      <c r="B66" s="4"/>
      <c r="C66" s="4"/>
      <c r="D66" s="4"/>
      <c r="E66" s="4"/>
      <c r="F66" s="4"/>
      <c r="G66" s="4"/>
      <c r="H66" s="4"/>
    </row>
    <row r="67" spans="2:8" ht="16" customHeight="1" x14ac:dyDescent="0.35">
      <c r="B67" s="4"/>
      <c r="C67" s="4"/>
      <c r="D67" s="4"/>
      <c r="E67" s="4"/>
      <c r="F67" s="4"/>
      <c r="G67" s="4"/>
      <c r="H67" s="4"/>
    </row>
    <row r="68" spans="2:8" ht="16" customHeight="1" x14ac:dyDescent="0.35">
      <c r="B68" s="4"/>
      <c r="C68" s="4"/>
      <c r="D68" s="4"/>
    </row>
  </sheetData>
  <conditionalFormatting sqref="L7:L26 L30:L35">
    <cfRule type="dataBar" priority="8">
      <dataBar>
        <cfvo type="num" val="0"/>
        <cfvo type="num" val="1"/>
        <color rgb="FFB4A9D4"/>
      </dataBar>
      <extLst>
        <ext xmlns:x14="http://schemas.microsoft.com/office/spreadsheetml/2009/9/main" uri="{B025F937-C7B1-47D3-B67F-A62EFF666E3E}">
          <x14:id>{3EB245E8-793C-40A8-A790-908882059D5C}</x14:id>
        </ext>
      </extLst>
    </cfRule>
  </conditionalFormatting>
  <conditionalFormatting sqref="L36:M36">
    <cfRule type="dataBar" priority="7">
      <dataBar>
        <cfvo type="num" val="0"/>
        <cfvo type="num" val="1"/>
        <color rgb="FFB4A9D4"/>
      </dataBar>
      <extLst>
        <ext xmlns:x14="http://schemas.microsoft.com/office/spreadsheetml/2009/9/main" uri="{B025F937-C7B1-47D3-B67F-A62EFF666E3E}">
          <x14:id>{56051A23-8971-433D-B91D-4780B9AE1858}</x14:id>
        </ext>
      </extLst>
    </cfRule>
  </conditionalFormatting>
  <conditionalFormatting sqref="B36:G36 I36:K36">
    <cfRule type="dataBar" priority="9">
      <dataBar>
        <cfvo type="num" val="0"/>
        <cfvo type="num" val="1"/>
        <color rgb="FFB4A9D4"/>
      </dataBar>
      <extLst>
        <ext xmlns:x14="http://schemas.microsoft.com/office/spreadsheetml/2009/9/main" uri="{B025F937-C7B1-47D3-B67F-A62EFF666E3E}">
          <x14:id>{5CD74ABB-93B2-4C27-B03D-989B3516567A}</x14:id>
        </ext>
      </extLst>
    </cfRule>
  </conditionalFormatting>
  <conditionalFormatting sqref="P7:P29">
    <cfRule type="dataBar" priority="3">
      <dataBar>
        <cfvo type="num" val="0"/>
        <cfvo type="num" val="1"/>
        <color rgb="FFB4A9D4"/>
      </dataBar>
      <extLst>
        <ext xmlns:x14="http://schemas.microsoft.com/office/spreadsheetml/2009/9/main" uri="{B025F937-C7B1-47D3-B67F-A62EFF666E3E}">
          <x14:id>{7E217708-AA04-4701-A6BD-EC9CF269B782}</x14:id>
        </ext>
      </extLst>
    </cfRule>
  </conditionalFormatting>
  <conditionalFormatting sqref="L27:L29">
    <cfRule type="dataBar" priority="2">
      <dataBar>
        <cfvo type="num" val="0"/>
        <cfvo type="num" val="1"/>
        <color rgb="FFB4A9D4"/>
      </dataBar>
      <extLst>
        <ext xmlns:x14="http://schemas.microsoft.com/office/spreadsheetml/2009/9/main" uri="{B025F937-C7B1-47D3-B67F-A62EFF666E3E}">
          <x14:id>{EBB5F2B1-15E3-41D1-B4B3-D4632DF8D618}</x14:id>
        </ext>
      </extLst>
    </cfRule>
  </conditionalFormatting>
  <conditionalFormatting sqref="H36">
    <cfRule type="dataBar" priority="1">
      <dataBar>
        <cfvo type="num" val="0"/>
        <cfvo type="num" val="1"/>
        <color rgb="FFB4A9D4"/>
      </dataBar>
      <extLst>
        <ext xmlns:x14="http://schemas.microsoft.com/office/spreadsheetml/2009/9/main" uri="{B025F937-C7B1-47D3-B67F-A62EFF666E3E}">
          <x14:id>{42F4DF2A-079D-4B71-8CF2-2DFA189B1FA9}</x14:id>
        </ext>
      </extLst>
    </cfRule>
  </conditionalFormatting>
  <pageMargins left="0.7" right="0.7" top="0.75" bottom="0.75" header="0.3" footer="0.3"/>
  <pageSetup paperSize="9" orientation="portrait" r:id="rId1"/>
  <ignoredErrors>
    <ignoredError sqref="L7:L35"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B245E8-793C-40A8-A790-908882059D5C}">
            <x14:dataBar minLength="0" maxLength="100" gradient="0">
              <x14:cfvo type="num">
                <xm:f>0</xm:f>
              </x14:cfvo>
              <x14:cfvo type="num">
                <xm:f>1</xm:f>
              </x14:cfvo>
              <x14:negativeFillColor rgb="FFFF0000"/>
              <x14:axisColor rgb="FF000000"/>
            </x14:dataBar>
          </x14:cfRule>
          <xm:sqref>L7:L26 L30:L35</xm:sqref>
        </x14:conditionalFormatting>
        <x14:conditionalFormatting xmlns:xm="http://schemas.microsoft.com/office/excel/2006/main">
          <x14:cfRule type="dataBar" id="{56051A23-8971-433D-B91D-4780B9AE1858}">
            <x14:dataBar minLength="0" maxLength="100" gradient="0">
              <x14:cfvo type="num">
                <xm:f>0</xm:f>
              </x14:cfvo>
              <x14:cfvo type="num">
                <xm:f>1</xm:f>
              </x14:cfvo>
              <x14:negativeFillColor rgb="FFFF0000"/>
              <x14:axisColor rgb="FF000000"/>
            </x14:dataBar>
          </x14:cfRule>
          <xm:sqref>L36:M36</xm:sqref>
        </x14:conditionalFormatting>
        <x14:conditionalFormatting xmlns:xm="http://schemas.microsoft.com/office/excel/2006/main">
          <x14:cfRule type="dataBar" id="{5CD74ABB-93B2-4C27-B03D-989B3516567A}">
            <x14:dataBar minLength="0" maxLength="100" gradient="0">
              <x14:cfvo type="num">
                <xm:f>0</xm:f>
              </x14:cfvo>
              <x14:cfvo type="num">
                <xm:f>1</xm:f>
              </x14:cfvo>
              <x14:negativeFillColor rgb="FFFF0000"/>
              <x14:axisColor rgb="FF000000"/>
            </x14:dataBar>
          </x14:cfRule>
          <xm:sqref>B36:G36 I36:K36</xm:sqref>
        </x14:conditionalFormatting>
        <x14:conditionalFormatting xmlns:xm="http://schemas.microsoft.com/office/excel/2006/main">
          <x14:cfRule type="dataBar" id="{7E217708-AA04-4701-A6BD-EC9CF269B782}">
            <x14:dataBar minLength="0" maxLength="100" gradient="0">
              <x14:cfvo type="num">
                <xm:f>0</xm:f>
              </x14:cfvo>
              <x14:cfvo type="num">
                <xm:f>1</xm:f>
              </x14:cfvo>
              <x14:negativeFillColor rgb="FFFF0000"/>
              <x14:axisColor rgb="FF000000"/>
            </x14:dataBar>
          </x14:cfRule>
          <xm:sqref>P7:P29</xm:sqref>
        </x14:conditionalFormatting>
        <x14:conditionalFormatting xmlns:xm="http://schemas.microsoft.com/office/excel/2006/main">
          <x14:cfRule type="dataBar" id="{EBB5F2B1-15E3-41D1-B4B3-D4632DF8D618}">
            <x14:dataBar minLength="0" maxLength="100" gradient="0">
              <x14:cfvo type="num">
                <xm:f>0</xm:f>
              </x14:cfvo>
              <x14:cfvo type="num">
                <xm:f>1</xm:f>
              </x14:cfvo>
              <x14:negativeFillColor rgb="FFFF0000"/>
              <x14:axisColor rgb="FF000000"/>
            </x14:dataBar>
          </x14:cfRule>
          <xm:sqref>L27:L29</xm:sqref>
        </x14:conditionalFormatting>
        <x14:conditionalFormatting xmlns:xm="http://schemas.microsoft.com/office/excel/2006/main">
          <x14:cfRule type="dataBar" id="{42F4DF2A-079D-4B71-8CF2-2DFA189B1FA9}">
            <x14:dataBar minLength="0" maxLength="100" gradient="0">
              <x14:cfvo type="num">
                <xm:f>0</xm:f>
              </x14:cfvo>
              <x14:cfvo type="num">
                <xm:f>1</xm:f>
              </x14:cfvo>
              <x14:negativeFillColor rgb="FFFF0000"/>
              <x14:axisColor rgb="FF000000"/>
            </x14:dataBar>
          </x14:cfRule>
          <xm:sqref>H36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heetViews>
  <sheetFormatPr defaultColWidth="8.7265625" defaultRowHeight="16" customHeight="1" x14ac:dyDescent="0.35"/>
  <cols>
    <col min="1" max="1" width="64.81640625" style="11" customWidth="1"/>
    <col min="2" max="3" width="28.81640625" style="11" customWidth="1"/>
    <col min="4" max="4" width="40.26953125" style="11" customWidth="1"/>
    <col min="5" max="5" width="37" style="11" customWidth="1"/>
    <col min="6" max="6" width="23.54296875" style="11" customWidth="1"/>
    <col min="7" max="7" width="25.1796875" style="11" bestFit="1" customWidth="1"/>
    <col min="8" max="8" width="22.7265625" style="11" bestFit="1" customWidth="1"/>
    <col min="9" max="9" width="26.54296875" style="11" customWidth="1"/>
    <col min="10" max="12" width="12.54296875" style="11" customWidth="1"/>
    <col min="13" max="13" width="13.453125" style="11" customWidth="1"/>
    <col min="14" max="14" width="9.54296875" style="11" bestFit="1" customWidth="1"/>
    <col min="15" max="16384" width="8.7265625" style="11"/>
  </cols>
  <sheetData>
    <row r="1" spans="1:13" ht="26.5" customHeight="1" x14ac:dyDescent="0.5">
      <c r="A1" s="10" t="s">
        <v>306</v>
      </c>
      <c r="B1" s="10"/>
      <c r="C1" s="10"/>
      <c r="D1" s="10"/>
      <c r="E1" s="10"/>
      <c r="F1" s="10"/>
      <c r="G1" s="10"/>
      <c r="H1" s="10"/>
      <c r="I1" s="10"/>
      <c r="J1" s="12"/>
      <c r="K1" s="12"/>
      <c r="L1" s="12"/>
      <c r="M1" s="12"/>
    </row>
    <row r="2" spans="1:13" ht="16" customHeight="1" x14ac:dyDescent="0.35">
      <c r="A2" s="29" t="s">
        <v>307</v>
      </c>
      <c r="B2" s="33"/>
      <c r="C2" s="33"/>
      <c r="D2" s="33"/>
      <c r="E2" s="33"/>
      <c r="F2" s="33"/>
      <c r="G2" s="33"/>
      <c r="H2" s="33"/>
      <c r="I2" s="33"/>
      <c r="J2" s="12"/>
      <c r="K2" s="12"/>
      <c r="L2" s="12"/>
      <c r="M2" s="12"/>
    </row>
    <row r="3" spans="1:13" ht="16" customHeight="1" x14ac:dyDescent="0.35">
      <c r="A3" s="88" t="s">
        <v>345</v>
      </c>
      <c r="B3" s="33"/>
      <c r="C3" s="33"/>
      <c r="D3" s="33"/>
      <c r="E3" s="33"/>
      <c r="F3" s="33"/>
      <c r="G3" s="33"/>
      <c r="H3" s="33"/>
      <c r="I3" s="33"/>
      <c r="J3" s="12"/>
      <c r="K3" s="12"/>
      <c r="L3" s="12"/>
      <c r="M3" s="12"/>
    </row>
    <row r="4" spans="1:13" ht="16" customHeight="1" x14ac:dyDescent="0.35">
      <c r="A4" s="88" t="s">
        <v>346</v>
      </c>
      <c r="B4" s="33"/>
      <c r="C4" s="33"/>
      <c r="D4" s="33"/>
      <c r="E4" s="33"/>
      <c r="F4" s="33"/>
      <c r="G4" s="33"/>
      <c r="H4" s="33"/>
      <c r="I4" s="33"/>
      <c r="J4" s="12"/>
      <c r="K4" s="12"/>
      <c r="L4" s="12"/>
      <c r="M4" s="12"/>
    </row>
    <row r="5" spans="1:13" ht="16" customHeight="1" x14ac:dyDescent="0.35">
      <c r="A5" s="15" t="s">
        <v>353</v>
      </c>
      <c r="B5" s="33"/>
      <c r="C5" s="33"/>
      <c r="D5" s="33"/>
      <c r="E5" s="33"/>
      <c r="F5" s="33"/>
      <c r="G5" s="33"/>
      <c r="H5" s="33"/>
      <c r="I5" s="33"/>
      <c r="J5" s="12"/>
      <c r="K5" s="12"/>
      <c r="L5" s="12"/>
      <c r="M5" s="12"/>
    </row>
    <row r="6" spans="1:13" ht="84" customHeight="1" x14ac:dyDescent="0.35">
      <c r="A6" s="156" t="s">
        <v>305</v>
      </c>
      <c r="B6" s="128" t="s">
        <v>327</v>
      </c>
      <c r="C6" s="173" t="s">
        <v>328</v>
      </c>
      <c r="D6" s="33"/>
      <c r="E6" s="33"/>
      <c r="F6" s="33"/>
      <c r="G6" s="33"/>
      <c r="H6" s="33"/>
      <c r="I6" s="33"/>
      <c r="J6" s="12"/>
      <c r="K6" s="12"/>
      <c r="L6" s="12"/>
      <c r="M6" s="12"/>
    </row>
    <row r="7" spans="1:13" ht="16" customHeight="1" x14ac:dyDescent="0.35">
      <c r="A7" s="175" t="s">
        <v>5</v>
      </c>
      <c r="B7" s="99">
        <v>12845</v>
      </c>
      <c r="C7" s="176">
        <v>22407940</v>
      </c>
      <c r="D7" s="33"/>
      <c r="E7" s="33"/>
      <c r="F7" s="33"/>
      <c r="G7" s="33"/>
      <c r="H7" s="33"/>
      <c r="I7" s="33"/>
      <c r="J7" s="12"/>
      <c r="K7" s="12"/>
      <c r="L7" s="12"/>
      <c r="M7" s="12"/>
    </row>
    <row r="8" spans="1:13" ht="16" customHeight="1" x14ac:dyDescent="0.35">
      <c r="A8" s="24" t="s">
        <v>234</v>
      </c>
      <c r="B8" s="102">
        <v>230</v>
      </c>
      <c r="C8" s="174">
        <v>245410</v>
      </c>
      <c r="D8" s="33"/>
      <c r="E8" s="33"/>
      <c r="F8" s="33"/>
      <c r="G8" s="33"/>
      <c r="H8" s="33"/>
      <c r="I8" s="33"/>
      <c r="J8" s="12"/>
      <c r="K8" s="12"/>
      <c r="L8" s="12"/>
      <c r="M8" s="12"/>
    </row>
    <row r="9" spans="1:13" ht="16" customHeight="1" x14ac:dyDescent="0.35">
      <c r="A9" s="24" t="s">
        <v>235</v>
      </c>
      <c r="B9" s="102">
        <v>12615</v>
      </c>
      <c r="C9" s="174">
        <v>22162530</v>
      </c>
      <c r="D9" s="33"/>
      <c r="E9" s="33"/>
      <c r="F9" s="33"/>
      <c r="G9" s="33"/>
      <c r="H9" s="33"/>
      <c r="I9" s="33"/>
      <c r="J9" s="12"/>
      <c r="K9" s="12"/>
      <c r="L9" s="12"/>
      <c r="M9" s="12"/>
    </row>
    <row r="10" spans="1:13" ht="16" customHeight="1" x14ac:dyDescent="0.35">
      <c r="A10" s="177" t="s">
        <v>308</v>
      </c>
      <c r="B10" s="32"/>
      <c r="C10" s="178"/>
      <c r="D10" s="13"/>
      <c r="E10" s="24"/>
      <c r="F10" s="24"/>
      <c r="G10" s="171"/>
      <c r="H10" s="171"/>
      <c r="I10" s="171"/>
      <c r="J10" s="172"/>
      <c r="K10" s="172"/>
      <c r="L10" s="172"/>
      <c r="M10" s="172"/>
    </row>
    <row r="11" spans="1:13" ht="15.5" x14ac:dyDescent="0.35">
      <c r="A11" s="185"/>
      <c r="B11" s="32"/>
      <c r="C11" s="178"/>
      <c r="D11" s="13"/>
      <c r="E11" s="24"/>
      <c r="F11" s="170"/>
      <c r="G11" s="171"/>
      <c r="H11" s="171"/>
      <c r="I11" s="171"/>
      <c r="J11" s="172"/>
      <c r="K11" s="172"/>
      <c r="L11" s="172"/>
      <c r="M11" s="172"/>
    </row>
    <row r="12" spans="1:13" ht="15.5" x14ac:dyDescent="0.35">
      <c r="A12" s="155"/>
      <c r="E12" s="24"/>
      <c r="F12" s="24"/>
      <c r="G12" s="24"/>
      <c r="H12" s="24"/>
      <c r="I12" s="24"/>
    </row>
    <row r="13" spans="1:13" ht="16" customHeight="1" x14ac:dyDescent="0.35">
      <c r="F13" s="122"/>
    </row>
    <row r="14" spans="1:13" ht="16" customHeight="1" x14ac:dyDescent="0.35">
      <c r="F14" s="7"/>
    </row>
    <row r="15" spans="1:13" ht="16" customHeight="1" x14ac:dyDescent="0.35">
      <c r="F15" s="7"/>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Normal="100" workbookViewId="0"/>
  </sheetViews>
  <sheetFormatPr defaultColWidth="38.453125" defaultRowHeight="16" customHeight="1" x14ac:dyDescent="0.35"/>
  <cols>
    <col min="1" max="1" width="38.453125" style="11"/>
    <col min="2" max="7" width="33.54296875" style="11" customWidth="1"/>
    <col min="8" max="16384" width="38.453125" style="11"/>
  </cols>
  <sheetData>
    <row r="1" spans="1:25" ht="25" customHeight="1" x14ac:dyDescent="0.5">
      <c r="A1" s="10" t="s">
        <v>309</v>
      </c>
      <c r="B1" s="10"/>
      <c r="C1" s="10"/>
      <c r="D1" s="10"/>
      <c r="E1" s="10"/>
      <c r="F1" s="10"/>
      <c r="G1" s="10"/>
      <c r="H1" s="10"/>
      <c r="I1" s="10"/>
      <c r="J1" s="12"/>
      <c r="K1" s="12"/>
      <c r="L1" s="12"/>
      <c r="M1" s="12"/>
    </row>
    <row r="2" spans="1:25" ht="16" customHeight="1" x14ac:dyDescent="0.35">
      <c r="A2" s="29" t="s">
        <v>319</v>
      </c>
      <c r="B2" s="33"/>
      <c r="C2" s="33"/>
      <c r="D2" s="33"/>
      <c r="E2" s="33"/>
      <c r="F2" s="33"/>
      <c r="G2" s="33"/>
      <c r="H2" s="33"/>
      <c r="I2" s="33"/>
      <c r="J2" s="12"/>
      <c r="K2" s="12"/>
      <c r="L2" s="12"/>
      <c r="M2" s="12"/>
    </row>
    <row r="3" spans="1:25" ht="16" customHeight="1" x14ac:dyDescent="0.35">
      <c r="A3" s="88" t="s">
        <v>345</v>
      </c>
      <c r="B3" s="33"/>
      <c r="C3" s="33"/>
      <c r="D3" s="33"/>
      <c r="E3" s="33"/>
      <c r="F3" s="33"/>
      <c r="G3" s="33"/>
      <c r="H3" s="33"/>
      <c r="I3" s="33"/>
      <c r="J3" s="12"/>
      <c r="K3" s="12"/>
      <c r="L3" s="12"/>
      <c r="M3" s="12"/>
    </row>
    <row r="4" spans="1:25" ht="16" customHeight="1" x14ac:dyDescent="0.35">
      <c r="A4" s="88" t="s">
        <v>346</v>
      </c>
      <c r="B4" s="33"/>
      <c r="C4" s="33"/>
      <c r="D4" s="33"/>
      <c r="E4" s="33"/>
      <c r="F4" s="33"/>
      <c r="G4" s="33"/>
      <c r="H4" s="33"/>
      <c r="I4" s="33"/>
      <c r="J4" s="12"/>
      <c r="K4" s="12"/>
      <c r="L4" s="12"/>
      <c r="M4" s="12"/>
    </row>
    <row r="5" spans="1:25" ht="16" customHeight="1" x14ac:dyDescent="0.35">
      <c r="A5" s="15" t="s">
        <v>353</v>
      </c>
      <c r="B5" s="33"/>
      <c r="C5" s="33"/>
      <c r="D5" s="33"/>
      <c r="E5" s="33"/>
      <c r="F5" s="33"/>
      <c r="G5" s="33"/>
      <c r="H5" s="33"/>
      <c r="I5" s="33"/>
      <c r="J5" s="12"/>
      <c r="K5" s="12"/>
      <c r="L5" s="12"/>
      <c r="M5" s="12"/>
    </row>
    <row r="6" spans="1:25" ht="126" customHeight="1" x14ac:dyDescent="0.35">
      <c r="A6" s="182" t="s">
        <v>305</v>
      </c>
      <c r="B6" s="183" t="s">
        <v>316</v>
      </c>
      <c r="C6" s="183" t="s">
        <v>317</v>
      </c>
      <c r="D6" s="184" t="s">
        <v>318</v>
      </c>
      <c r="E6" s="190" t="s">
        <v>329</v>
      </c>
      <c r="F6" s="183" t="s">
        <v>330</v>
      </c>
      <c r="G6" s="183" t="s">
        <v>331</v>
      </c>
    </row>
    <row r="7" spans="1:25" ht="16" customHeight="1" x14ac:dyDescent="0.35">
      <c r="A7" s="180" t="s">
        <v>5</v>
      </c>
      <c r="B7" s="237">
        <v>1505</v>
      </c>
      <c r="C7" s="237">
        <v>1791</v>
      </c>
      <c r="D7" s="238">
        <v>1805</v>
      </c>
      <c r="E7" s="239">
        <v>1496</v>
      </c>
      <c r="F7" s="237">
        <v>1819</v>
      </c>
      <c r="G7" s="248">
        <v>1805</v>
      </c>
      <c r="M7" s="13"/>
      <c r="N7" s="13"/>
      <c r="O7" s="13"/>
      <c r="P7" s="13"/>
      <c r="Q7" s="13"/>
      <c r="R7" s="13"/>
      <c r="S7" s="13"/>
      <c r="T7" s="13"/>
      <c r="U7" s="13"/>
      <c r="V7" s="13"/>
      <c r="W7" s="13"/>
      <c r="X7" s="13"/>
      <c r="Y7" s="13"/>
    </row>
    <row r="8" spans="1:25" ht="16" customHeight="1" x14ac:dyDescent="0.35">
      <c r="A8" s="179" t="s">
        <v>234</v>
      </c>
      <c r="B8" s="240">
        <v>963</v>
      </c>
      <c r="C8" s="240">
        <v>1091</v>
      </c>
      <c r="D8" s="241">
        <v>1100</v>
      </c>
      <c r="E8" s="242">
        <v>882</v>
      </c>
      <c r="F8" s="240">
        <v>1168</v>
      </c>
      <c r="G8" s="243">
        <v>1077</v>
      </c>
    </row>
    <row r="9" spans="1:25" ht="16" customHeight="1" x14ac:dyDescent="0.35">
      <c r="A9" s="181" t="s">
        <v>235</v>
      </c>
      <c r="B9" s="244">
        <v>1513</v>
      </c>
      <c r="C9" s="244">
        <v>1803</v>
      </c>
      <c r="D9" s="245">
        <v>1820</v>
      </c>
      <c r="E9" s="246">
        <v>1506</v>
      </c>
      <c r="F9" s="244">
        <v>1829</v>
      </c>
      <c r="G9" s="247">
        <v>1820</v>
      </c>
    </row>
    <row r="10" spans="1:25" ht="16" customHeight="1" x14ac:dyDescent="0.35">
      <c r="A10" s="150" t="s">
        <v>308</v>
      </c>
      <c r="B10" s="24"/>
      <c r="C10" s="24"/>
      <c r="D10" s="24"/>
      <c r="E10" s="24"/>
      <c r="F10" s="7"/>
    </row>
    <row r="11" spans="1:25" ht="16" customHeight="1" x14ac:dyDescent="0.35">
      <c r="A11" s="150" t="s">
        <v>310</v>
      </c>
      <c r="B11" s="24"/>
      <c r="C11" s="24"/>
      <c r="D11" s="24"/>
      <c r="E11" s="24"/>
      <c r="F11" s="7"/>
    </row>
    <row r="12" spans="1:25" ht="16" customHeight="1" x14ac:dyDescent="0.35">
      <c r="A12" s="150" t="s">
        <v>311</v>
      </c>
    </row>
    <row r="13" spans="1:25" ht="210" customHeight="1" x14ac:dyDescent="0.35">
      <c r="A13" s="155" t="s">
        <v>312</v>
      </c>
    </row>
    <row r="14" spans="1:25" ht="15.65" customHeight="1" x14ac:dyDescent="0.35">
      <c r="A14" s="150" t="s">
        <v>313</v>
      </c>
    </row>
    <row r="15" spans="1:25" ht="107.15" customHeight="1" x14ac:dyDescent="0.35">
      <c r="A15" s="27" t="s">
        <v>332</v>
      </c>
    </row>
    <row r="16" spans="1:25" ht="16" customHeight="1" x14ac:dyDescent="0.35">
      <c r="A16" s="150" t="s">
        <v>314</v>
      </c>
    </row>
    <row r="17" spans="1:1" ht="16" customHeight="1" x14ac:dyDescent="0.35">
      <c r="A17" s="150" t="s">
        <v>315</v>
      </c>
    </row>
    <row r="18" spans="1:1" ht="16" customHeight="1" x14ac:dyDescent="0.35">
      <c r="A18" s="150" t="s">
        <v>372</v>
      </c>
    </row>
  </sheetData>
  <conditionalFormatting sqref="A6:G6">
    <cfRule type="expression" priority="3">
      <formula>$B$6="Payment by date of issue - mean average value issued in Financial Year 2019_2020"</formula>
    </cfRule>
  </conditionalFormatting>
  <conditionalFormatting sqref="B6:G6">
    <cfRule type="expression" dxfId="1" priority="2">
      <formula>$B$6="Payment by date of issue - mean average value issued in Financial Year 2019_2020"</formula>
    </cfRule>
  </conditionalFormatting>
  <conditionalFormatting sqref="B6">
    <cfRule type="expression" dxfId="0" priority="1">
      <formula>$A$6="Payment by date of issue - mean average value issued in Financial Year 2019_2020"</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61"/>
  <sheetViews>
    <sheetView zoomScaleNormal="100" workbookViewId="0"/>
  </sheetViews>
  <sheetFormatPr defaultColWidth="8.7265625" defaultRowHeight="15.5" x14ac:dyDescent="0.35"/>
  <cols>
    <col min="1" max="1" width="40.81640625" style="24" customWidth="1"/>
    <col min="2" max="8" width="19.54296875" style="24" customWidth="1"/>
    <col min="9" max="13" width="23" style="24" customWidth="1"/>
    <col min="14" max="16384" width="8.7265625" style="24"/>
  </cols>
  <sheetData>
    <row r="1" spans="1:10" ht="21" x14ac:dyDescent="0.5">
      <c r="A1" s="10" t="s">
        <v>230</v>
      </c>
      <c r="B1" s="157"/>
      <c r="C1" s="157"/>
      <c r="D1" s="157"/>
      <c r="E1" s="157"/>
      <c r="F1" s="157"/>
      <c r="G1" s="157"/>
      <c r="H1" s="18"/>
      <c r="I1" s="18"/>
      <c r="J1" s="18"/>
    </row>
    <row r="2" spans="1:10" s="36" customFormat="1" ht="15" customHeight="1" x14ac:dyDescent="0.35">
      <c r="A2" s="24" t="s">
        <v>297</v>
      </c>
      <c r="B2" s="33"/>
      <c r="C2" s="33"/>
      <c r="D2" s="33"/>
      <c r="E2" s="33"/>
      <c r="F2" s="33"/>
      <c r="G2" s="33"/>
      <c r="H2" s="18"/>
      <c r="I2" s="18"/>
      <c r="J2" s="18"/>
    </row>
    <row r="3" spans="1:10" s="36" customFormat="1" ht="15" customHeight="1" x14ac:dyDescent="0.35">
      <c r="A3" s="88" t="s">
        <v>345</v>
      </c>
      <c r="B3" s="33"/>
      <c r="C3" s="33"/>
      <c r="D3" s="33"/>
      <c r="E3" s="33"/>
      <c r="F3" s="33"/>
      <c r="G3" s="33"/>
      <c r="H3" s="18"/>
      <c r="I3" s="18"/>
      <c r="J3" s="18"/>
    </row>
    <row r="4" spans="1:10" s="36" customFormat="1" ht="15" customHeight="1" x14ac:dyDescent="0.35">
      <c r="A4" s="88" t="s">
        <v>346</v>
      </c>
      <c r="B4" s="33"/>
      <c r="C4" s="33"/>
      <c r="D4" s="33"/>
      <c r="E4" s="33"/>
      <c r="F4" s="33"/>
      <c r="G4" s="33"/>
      <c r="H4" s="18"/>
      <c r="I4" s="18"/>
      <c r="J4" s="18"/>
    </row>
    <row r="5" spans="1:10" ht="16" customHeight="1" x14ac:dyDescent="0.35">
      <c r="A5" s="15" t="s">
        <v>370</v>
      </c>
      <c r="B5" s="33"/>
      <c r="C5" s="33"/>
      <c r="D5" s="33"/>
      <c r="E5" s="33"/>
      <c r="F5" s="33"/>
      <c r="G5" s="33"/>
      <c r="H5" s="18"/>
      <c r="I5" s="18"/>
      <c r="J5" s="18"/>
    </row>
    <row r="6" spans="1:10" ht="65.5" customHeight="1" x14ac:dyDescent="0.35">
      <c r="A6" s="25" t="s">
        <v>356</v>
      </c>
      <c r="B6" s="158" t="s">
        <v>236</v>
      </c>
      <c r="C6" s="158" t="s">
        <v>237</v>
      </c>
      <c r="D6" s="158" t="s">
        <v>238</v>
      </c>
      <c r="E6" s="158" t="s">
        <v>239</v>
      </c>
      <c r="F6" s="158" t="s">
        <v>298</v>
      </c>
      <c r="G6" s="158" t="s">
        <v>299</v>
      </c>
      <c r="H6" s="35"/>
    </row>
    <row r="7" spans="1:10" x14ac:dyDescent="0.35">
      <c r="A7" s="55" t="s">
        <v>5</v>
      </c>
      <c r="B7" s="54">
        <v>12845</v>
      </c>
      <c r="C7" s="167">
        <v>22407940</v>
      </c>
      <c r="D7" s="159">
        <v>4345</v>
      </c>
      <c r="E7" s="159">
        <v>8500</v>
      </c>
      <c r="F7" s="100">
        <v>0.34</v>
      </c>
      <c r="G7" s="100">
        <v>0.66</v>
      </c>
    </row>
    <row r="8" spans="1:10" x14ac:dyDescent="0.35">
      <c r="A8" s="26" t="s">
        <v>155</v>
      </c>
      <c r="B8" s="67">
        <v>35</v>
      </c>
      <c r="C8" s="168">
        <v>53429</v>
      </c>
      <c r="D8" s="119">
        <v>5</v>
      </c>
      <c r="E8" s="67">
        <v>30</v>
      </c>
      <c r="F8" s="103">
        <v>0.17</v>
      </c>
      <c r="G8" s="103">
        <v>0.83</v>
      </c>
    </row>
    <row r="9" spans="1:10" x14ac:dyDescent="0.35">
      <c r="A9" s="26" t="s">
        <v>156</v>
      </c>
      <c r="B9" s="67">
        <v>280</v>
      </c>
      <c r="C9" s="168">
        <v>430121</v>
      </c>
      <c r="D9" s="119">
        <v>65</v>
      </c>
      <c r="E9" s="67">
        <v>220</v>
      </c>
      <c r="F9" s="103">
        <v>0.23</v>
      </c>
      <c r="G9" s="103">
        <v>0.77</v>
      </c>
    </row>
    <row r="10" spans="1:10" x14ac:dyDescent="0.35">
      <c r="A10" s="26" t="s">
        <v>157</v>
      </c>
      <c r="B10" s="67">
        <v>365</v>
      </c>
      <c r="C10" s="168">
        <v>543976</v>
      </c>
      <c r="D10" s="119">
        <v>100</v>
      </c>
      <c r="E10" s="67">
        <v>265</v>
      </c>
      <c r="F10" s="103">
        <v>0.28000000000000003</v>
      </c>
      <c r="G10" s="103">
        <v>0.72</v>
      </c>
    </row>
    <row r="11" spans="1:10" x14ac:dyDescent="0.35">
      <c r="A11" s="26" t="s">
        <v>158</v>
      </c>
      <c r="B11" s="67">
        <v>375</v>
      </c>
      <c r="C11" s="168">
        <v>595239</v>
      </c>
      <c r="D11" s="119">
        <v>100</v>
      </c>
      <c r="E11" s="67">
        <v>275</v>
      </c>
      <c r="F11" s="103">
        <v>0.27</v>
      </c>
      <c r="G11" s="103">
        <v>0.73</v>
      </c>
    </row>
    <row r="12" spans="1:10" x14ac:dyDescent="0.35">
      <c r="A12" s="26" t="s">
        <v>159</v>
      </c>
      <c r="B12" s="67">
        <v>465</v>
      </c>
      <c r="C12" s="168">
        <v>691425</v>
      </c>
      <c r="D12" s="119">
        <v>140</v>
      </c>
      <c r="E12" s="67">
        <v>320</v>
      </c>
      <c r="F12" s="103">
        <v>0.31</v>
      </c>
      <c r="G12" s="103">
        <v>0.69</v>
      </c>
    </row>
    <row r="13" spans="1:10" x14ac:dyDescent="0.35">
      <c r="A13" s="26" t="s">
        <v>153</v>
      </c>
      <c r="B13" s="67">
        <v>405</v>
      </c>
      <c r="C13" s="168">
        <v>580644</v>
      </c>
      <c r="D13" s="119">
        <v>115</v>
      </c>
      <c r="E13" s="67">
        <v>290</v>
      </c>
      <c r="F13" s="103">
        <v>0.28000000000000003</v>
      </c>
      <c r="G13" s="103">
        <v>0.72</v>
      </c>
    </row>
    <row r="14" spans="1:10" x14ac:dyDescent="0.35">
      <c r="A14" s="26" t="s">
        <v>160</v>
      </c>
      <c r="B14" s="67">
        <v>380</v>
      </c>
      <c r="C14" s="168">
        <v>581981</v>
      </c>
      <c r="D14" s="119">
        <v>120</v>
      </c>
      <c r="E14" s="67">
        <v>260</v>
      </c>
      <c r="F14" s="103">
        <v>0.32</v>
      </c>
      <c r="G14" s="103">
        <v>0.68</v>
      </c>
    </row>
    <row r="15" spans="1:10" x14ac:dyDescent="0.35">
      <c r="A15" s="26" t="s">
        <v>161</v>
      </c>
      <c r="B15" s="67">
        <v>405</v>
      </c>
      <c r="C15" s="168">
        <v>632518</v>
      </c>
      <c r="D15" s="119">
        <v>130</v>
      </c>
      <c r="E15" s="67">
        <v>275</v>
      </c>
      <c r="F15" s="103">
        <v>0.33</v>
      </c>
      <c r="G15" s="103">
        <v>0.67</v>
      </c>
    </row>
    <row r="16" spans="1:10" x14ac:dyDescent="0.35">
      <c r="A16" s="26" t="s">
        <v>162</v>
      </c>
      <c r="B16" s="67">
        <v>440</v>
      </c>
      <c r="C16" s="168">
        <v>775152</v>
      </c>
      <c r="D16" s="119">
        <v>145</v>
      </c>
      <c r="E16" s="67">
        <v>295</v>
      </c>
      <c r="F16" s="103">
        <v>0.33</v>
      </c>
      <c r="G16" s="103">
        <v>0.67</v>
      </c>
    </row>
    <row r="17" spans="1:13" x14ac:dyDescent="0.35">
      <c r="A17" s="26" t="s">
        <v>163</v>
      </c>
      <c r="B17" s="67">
        <v>645</v>
      </c>
      <c r="C17" s="168">
        <v>1169042</v>
      </c>
      <c r="D17" s="119">
        <v>230</v>
      </c>
      <c r="E17" s="67">
        <v>415</v>
      </c>
      <c r="F17" s="103">
        <v>0.36</v>
      </c>
      <c r="G17" s="103">
        <v>0.64</v>
      </c>
    </row>
    <row r="18" spans="1:13" x14ac:dyDescent="0.35">
      <c r="A18" s="26" t="s">
        <v>164</v>
      </c>
      <c r="B18" s="67">
        <v>535</v>
      </c>
      <c r="C18" s="168">
        <v>950851</v>
      </c>
      <c r="D18" s="119">
        <v>180</v>
      </c>
      <c r="E18" s="67">
        <v>355</v>
      </c>
      <c r="F18" s="103">
        <v>0.34</v>
      </c>
      <c r="G18" s="103">
        <v>0.66</v>
      </c>
    </row>
    <row r="19" spans="1:13" x14ac:dyDescent="0.35">
      <c r="A19" s="26" t="s">
        <v>165</v>
      </c>
      <c r="B19" s="67">
        <v>495</v>
      </c>
      <c r="C19" s="168">
        <v>897761</v>
      </c>
      <c r="D19" s="119">
        <v>140</v>
      </c>
      <c r="E19" s="67">
        <v>355</v>
      </c>
      <c r="F19" s="103">
        <v>0.28000000000000003</v>
      </c>
      <c r="G19" s="103">
        <v>0.72</v>
      </c>
    </row>
    <row r="20" spans="1:13" x14ac:dyDescent="0.35">
      <c r="A20" s="26" t="s">
        <v>166</v>
      </c>
      <c r="B20" s="67">
        <v>425</v>
      </c>
      <c r="C20" s="168">
        <v>767535</v>
      </c>
      <c r="D20" s="119">
        <v>145</v>
      </c>
      <c r="E20" s="67">
        <v>275</v>
      </c>
      <c r="F20" s="103">
        <v>0.35</v>
      </c>
      <c r="G20" s="103">
        <v>0.65</v>
      </c>
    </row>
    <row r="21" spans="1:13" x14ac:dyDescent="0.35">
      <c r="A21" s="26" t="s">
        <v>167</v>
      </c>
      <c r="B21" s="67">
        <v>465</v>
      </c>
      <c r="C21" s="168">
        <v>850031</v>
      </c>
      <c r="D21" s="119">
        <v>150</v>
      </c>
      <c r="E21" s="67">
        <v>310</v>
      </c>
      <c r="F21" s="103">
        <v>0.33</v>
      </c>
      <c r="G21" s="103">
        <v>0.67</v>
      </c>
    </row>
    <row r="22" spans="1:13" x14ac:dyDescent="0.35">
      <c r="A22" s="26" t="s">
        <v>168</v>
      </c>
      <c r="B22" s="67">
        <v>540</v>
      </c>
      <c r="C22" s="168">
        <v>977451</v>
      </c>
      <c r="D22" s="119">
        <v>195</v>
      </c>
      <c r="E22" s="67">
        <v>345</v>
      </c>
      <c r="F22" s="103">
        <v>0.36</v>
      </c>
      <c r="G22" s="103">
        <v>0.64</v>
      </c>
    </row>
    <row r="23" spans="1:13" x14ac:dyDescent="0.35">
      <c r="A23" s="26" t="s">
        <v>169</v>
      </c>
      <c r="B23" s="67">
        <v>455</v>
      </c>
      <c r="C23" s="168">
        <v>812295</v>
      </c>
      <c r="D23" s="119">
        <v>140</v>
      </c>
      <c r="E23" s="67">
        <v>315</v>
      </c>
      <c r="F23" s="103">
        <v>0.31</v>
      </c>
      <c r="G23" s="103">
        <v>0.69</v>
      </c>
    </row>
    <row r="24" spans="1:13" x14ac:dyDescent="0.35">
      <c r="A24" s="26" t="s">
        <v>170</v>
      </c>
      <c r="B24" s="67">
        <v>375</v>
      </c>
      <c r="C24" s="168">
        <v>680555</v>
      </c>
      <c r="D24" s="119">
        <v>125</v>
      </c>
      <c r="E24" s="67">
        <v>250</v>
      </c>
      <c r="F24" s="103">
        <v>0.34</v>
      </c>
      <c r="G24" s="103">
        <v>0.66</v>
      </c>
    </row>
    <row r="25" spans="1:13" x14ac:dyDescent="0.35">
      <c r="A25" s="26" t="s">
        <v>154</v>
      </c>
      <c r="B25" s="67">
        <v>630</v>
      </c>
      <c r="C25" s="168">
        <v>1156628</v>
      </c>
      <c r="D25" s="119">
        <v>205</v>
      </c>
      <c r="E25" s="67">
        <v>425</v>
      </c>
      <c r="F25" s="103">
        <v>0.33</v>
      </c>
      <c r="G25" s="103">
        <v>0.67</v>
      </c>
    </row>
    <row r="26" spans="1:13" x14ac:dyDescent="0.35">
      <c r="A26" s="26" t="s">
        <v>171</v>
      </c>
      <c r="B26" s="67">
        <v>705</v>
      </c>
      <c r="C26" s="168">
        <v>1290001</v>
      </c>
      <c r="D26" s="119">
        <v>250</v>
      </c>
      <c r="E26" s="67">
        <v>455</v>
      </c>
      <c r="F26" s="103">
        <v>0.36</v>
      </c>
      <c r="G26" s="103">
        <v>0.64</v>
      </c>
    </row>
    <row r="27" spans="1:13" x14ac:dyDescent="0.35">
      <c r="A27" s="26" t="s">
        <v>172</v>
      </c>
      <c r="B27" s="67">
        <v>580</v>
      </c>
      <c r="C27" s="168">
        <v>1055040</v>
      </c>
      <c r="D27" s="119">
        <v>215</v>
      </c>
      <c r="E27" s="67">
        <v>365</v>
      </c>
      <c r="F27" s="103">
        <v>0.37</v>
      </c>
      <c r="G27" s="103">
        <v>0.63</v>
      </c>
    </row>
    <row r="28" spans="1:13" x14ac:dyDescent="0.35">
      <c r="A28" s="26" t="s">
        <v>173</v>
      </c>
      <c r="B28" s="119">
        <v>415</v>
      </c>
      <c r="C28" s="168">
        <v>755878</v>
      </c>
      <c r="D28" s="119">
        <v>145</v>
      </c>
      <c r="E28" s="119">
        <v>270</v>
      </c>
      <c r="F28" s="103">
        <v>0.35</v>
      </c>
      <c r="G28" s="103">
        <v>0.65</v>
      </c>
    </row>
    <row r="29" spans="1:13" x14ac:dyDescent="0.35">
      <c r="A29" s="80" t="s">
        <v>223</v>
      </c>
      <c r="B29" s="52">
        <v>450</v>
      </c>
      <c r="C29" s="168">
        <v>784937</v>
      </c>
      <c r="D29" s="52">
        <v>175</v>
      </c>
      <c r="E29" s="52">
        <v>270</v>
      </c>
      <c r="F29" s="103">
        <v>0.39</v>
      </c>
      <c r="G29" s="103">
        <v>0.61</v>
      </c>
      <c r="H29" s="32"/>
    </row>
    <row r="30" spans="1:13" x14ac:dyDescent="0.35">
      <c r="A30" s="195" t="s">
        <v>334</v>
      </c>
      <c r="B30" s="119">
        <v>440</v>
      </c>
      <c r="C30" s="168">
        <v>789891</v>
      </c>
      <c r="D30" s="119">
        <v>170</v>
      </c>
      <c r="E30" s="119">
        <v>275</v>
      </c>
      <c r="F30" s="103">
        <v>0.38</v>
      </c>
      <c r="G30" s="103">
        <v>0.62</v>
      </c>
      <c r="H30" s="160"/>
      <c r="I30" s="34"/>
      <c r="J30" s="34"/>
      <c r="K30" s="71"/>
      <c r="L30" s="71"/>
      <c r="M30" s="71"/>
    </row>
    <row r="31" spans="1:13" x14ac:dyDescent="0.35">
      <c r="A31" s="195" t="s">
        <v>335</v>
      </c>
      <c r="B31" s="119">
        <v>575</v>
      </c>
      <c r="C31" s="168">
        <v>1029470</v>
      </c>
      <c r="D31" s="119">
        <v>215</v>
      </c>
      <c r="E31" s="119">
        <v>360</v>
      </c>
      <c r="F31" s="103">
        <v>0.38</v>
      </c>
      <c r="G31" s="103">
        <v>0.62</v>
      </c>
      <c r="H31" s="160"/>
      <c r="I31" s="34"/>
      <c r="J31" s="34"/>
      <c r="K31" s="71"/>
      <c r="L31" s="71"/>
      <c r="M31" s="71"/>
    </row>
    <row r="32" spans="1:13" x14ac:dyDescent="0.35">
      <c r="A32" s="195" t="s">
        <v>336</v>
      </c>
      <c r="B32" s="52">
        <v>625</v>
      </c>
      <c r="C32" s="168">
        <v>1123742</v>
      </c>
      <c r="D32" s="52">
        <v>225</v>
      </c>
      <c r="E32" s="52">
        <v>400</v>
      </c>
      <c r="F32" s="103">
        <v>0.36</v>
      </c>
      <c r="G32" s="103">
        <v>0.64</v>
      </c>
      <c r="H32" s="161"/>
      <c r="I32" s="28"/>
      <c r="J32" s="28"/>
      <c r="K32" s="28"/>
      <c r="L32" s="28"/>
      <c r="M32" s="162"/>
    </row>
    <row r="33" spans="1:13" x14ac:dyDescent="0.35">
      <c r="A33" s="195" t="s">
        <v>366</v>
      </c>
      <c r="B33" s="256">
        <v>440</v>
      </c>
      <c r="C33" s="257">
        <v>809074</v>
      </c>
      <c r="D33" s="258">
        <v>150</v>
      </c>
      <c r="E33" s="258">
        <v>285</v>
      </c>
      <c r="F33" s="259">
        <v>0.35</v>
      </c>
      <c r="G33" s="259">
        <v>0.65</v>
      </c>
      <c r="H33" s="194"/>
      <c r="I33" s="28"/>
      <c r="J33" s="28"/>
      <c r="K33" s="28"/>
      <c r="L33" s="28"/>
      <c r="M33" s="162"/>
    </row>
    <row r="34" spans="1:13" x14ac:dyDescent="0.35">
      <c r="A34" s="195" t="s">
        <v>367</v>
      </c>
      <c r="B34" s="256">
        <v>385</v>
      </c>
      <c r="C34" s="257">
        <v>713905</v>
      </c>
      <c r="D34" s="258">
        <v>150</v>
      </c>
      <c r="E34" s="256">
        <v>235</v>
      </c>
      <c r="F34" s="259">
        <v>0.39</v>
      </c>
      <c r="G34" s="259">
        <v>0.61</v>
      </c>
      <c r="H34" s="150"/>
      <c r="I34" s="28"/>
      <c r="J34" s="28"/>
      <c r="K34" s="28"/>
      <c r="L34" s="28"/>
      <c r="M34" s="162"/>
    </row>
    <row r="35" spans="1:13" ht="16" thickBot="1" x14ac:dyDescent="0.4">
      <c r="A35" s="114" t="s">
        <v>368</v>
      </c>
      <c r="B35" s="260">
        <v>510</v>
      </c>
      <c r="C35" s="261">
        <v>909368</v>
      </c>
      <c r="D35" s="262">
        <v>205</v>
      </c>
      <c r="E35" s="262">
        <v>305</v>
      </c>
      <c r="F35" s="259">
        <v>0.4</v>
      </c>
      <c r="G35" s="259">
        <v>0.6</v>
      </c>
      <c r="H35" s="163"/>
    </row>
    <row r="36" spans="1:13" x14ac:dyDescent="0.35">
      <c r="A36" s="129" t="s">
        <v>354</v>
      </c>
      <c r="B36" s="62">
        <v>2310</v>
      </c>
      <c r="C36" s="169">
        <v>3476815</v>
      </c>
      <c r="D36" s="62">
        <v>650</v>
      </c>
      <c r="E36" s="62">
        <v>1660</v>
      </c>
      <c r="F36" s="266">
        <v>0.28000000000000003</v>
      </c>
      <c r="G36" s="266">
        <v>0.72</v>
      </c>
      <c r="H36" s="163"/>
    </row>
    <row r="37" spans="1:13" x14ac:dyDescent="0.35">
      <c r="A37" s="129" t="s">
        <v>355</v>
      </c>
      <c r="B37" s="62">
        <v>6120</v>
      </c>
      <c r="C37" s="169">
        <v>10959821</v>
      </c>
      <c r="D37" s="62">
        <v>2045</v>
      </c>
      <c r="E37" s="62">
        <v>4075</v>
      </c>
      <c r="F37" s="103">
        <v>0.33</v>
      </c>
      <c r="G37" s="103">
        <v>0.67</v>
      </c>
      <c r="H37" s="29"/>
    </row>
    <row r="38" spans="1:13" s="71" customFormat="1" ht="14.5" customHeight="1" x14ac:dyDescent="0.35">
      <c r="A38" s="129" t="s">
        <v>363</v>
      </c>
      <c r="B38" s="62">
        <v>4415</v>
      </c>
      <c r="C38" s="169">
        <v>7971304</v>
      </c>
      <c r="D38" s="62">
        <v>1650</v>
      </c>
      <c r="E38" s="62">
        <v>2770</v>
      </c>
      <c r="F38" s="103">
        <v>0.37</v>
      </c>
      <c r="G38" s="103">
        <v>0.63</v>
      </c>
      <c r="H38" s="24"/>
      <c r="I38" s="24"/>
      <c r="J38" s="24"/>
      <c r="K38" s="24"/>
      <c r="L38" s="24"/>
      <c r="M38" s="24"/>
    </row>
    <row r="39" spans="1:13" s="71" customFormat="1" ht="17.5" customHeight="1" x14ac:dyDescent="0.35">
      <c r="A39" s="194" t="s">
        <v>7</v>
      </c>
      <c r="B39" s="194"/>
      <c r="C39" s="194"/>
      <c r="D39" s="194"/>
      <c r="E39" s="194"/>
      <c r="F39" s="194"/>
      <c r="G39" s="194"/>
      <c r="H39" s="24"/>
      <c r="I39" s="24"/>
      <c r="J39" s="24"/>
      <c r="K39" s="24"/>
      <c r="L39" s="24"/>
      <c r="M39" s="24"/>
    </row>
    <row r="40" spans="1:13" x14ac:dyDescent="0.35">
      <c r="A40" s="150" t="s">
        <v>377</v>
      </c>
      <c r="B40" s="150"/>
      <c r="C40" s="150"/>
      <c r="D40" s="150"/>
      <c r="E40" s="150"/>
      <c r="F40" s="150"/>
      <c r="G40" s="150"/>
    </row>
    <row r="41" spans="1:13" x14ac:dyDescent="0.35">
      <c r="A41" s="163" t="s">
        <v>362</v>
      </c>
      <c r="B41" s="163"/>
      <c r="C41" s="163"/>
      <c r="D41" s="163"/>
      <c r="E41" s="163"/>
      <c r="F41" s="163"/>
      <c r="G41" s="163"/>
    </row>
    <row r="42" spans="1:13" x14ac:dyDescent="0.35">
      <c r="A42" s="163" t="s">
        <v>240</v>
      </c>
      <c r="B42" s="163"/>
      <c r="C42" s="163"/>
      <c r="D42" s="163"/>
      <c r="E42" s="163"/>
      <c r="F42" s="163"/>
      <c r="G42" s="163"/>
    </row>
    <row r="43" spans="1:13" x14ac:dyDescent="0.35">
      <c r="A43" s="29" t="s">
        <v>207</v>
      </c>
      <c r="B43" s="29"/>
      <c r="C43" s="29"/>
      <c r="D43" s="29"/>
      <c r="E43" s="29"/>
      <c r="F43" s="29"/>
      <c r="G43" s="29"/>
    </row>
    <row r="44" spans="1:13" s="71" customFormat="1" ht="17.5" customHeight="1" x14ac:dyDescent="0.35">
      <c r="A44" s="28" t="s">
        <v>374</v>
      </c>
      <c r="B44" s="24"/>
      <c r="C44" s="24"/>
      <c r="D44" s="24"/>
      <c r="E44" s="24"/>
      <c r="F44" s="24"/>
      <c r="G44" s="24"/>
      <c r="H44" s="24"/>
      <c r="I44" s="24"/>
      <c r="J44" s="24"/>
      <c r="K44" s="24"/>
      <c r="L44" s="24"/>
      <c r="M44" s="24"/>
    </row>
    <row r="45" spans="1:13" ht="16" customHeight="1" x14ac:dyDescent="0.35">
      <c r="A45" s="29"/>
    </row>
    <row r="46" spans="1:13" ht="14.5" customHeight="1" x14ac:dyDescent="0.35"/>
    <row r="47" spans="1:13" ht="14.5" customHeight="1" x14ac:dyDescent="0.35"/>
    <row r="48" spans="1:13" s="71" customFormat="1" x14ac:dyDescent="0.35">
      <c r="A48" s="24"/>
      <c r="B48" s="24"/>
      <c r="C48" s="24"/>
      <c r="D48" s="24"/>
      <c r="E48" s="24"/>
      <c r="F48" s="24"/>
      <c r="G48" s="24"/>
      <c r="H48" s="24"/>
      <c r="I48" s="24"/>
      <c r="J48" s="24"/>
      <c r="K48" s="24"/>
      <c r="L48" s="24"/>
      <c r="M48" s="24"/>
    </row>
    <row r="49" spans="1:13" s="71" customFormat="1" ht="14.5" customHeight="1" x14ac:dyDescent="0.35">
      <c r="A49" s="24"/>
      <c r="B49" s="24"/>
      <c r="C49" s="24"/>
      <c r="D49" s="24"/>
      <c r="E49" s="24"/>
      <c r="F49" s="24"/>
      <c r="G49" s="24"/>
      <c r="H49" s="24"/>
      <c r="I49" s="24"/>
      <c r="J49" s="24"/>
      <c r="K49" s="24"/>
      <c r="L49" s="24"/>
      <c r="M49" s="24"/>
    </row>
    <row r="50" spans="1:13" ht="14.5" customHeight="1" x14ac:dyDescent="0.35"/>
    <row r="52" spans="1:13" ht="18.649999999999999" customHeight="1" x14ac:dyDescent="0.35"/>
    <row r="54" spans="1:13" ht="16.5" customHeight="1" x14ac:dyDescent="0.35"/>
    <row r="59" spans="1:13" ht="14.5" customHeight="1" x14ac:dyDescent="0.35"/>
    <row r="61" spans="1:13" ht="14.5" customHeight="1" x14ac:dyDescent="0.35"/>
  </sheetData>
  <conditionalFormatting sqref="H32">
    <cfRule type="dataBar" priority="9">
      <dataBar>
        <cfvo type="min"/>
        <cfvo type="num" val="1"/>
        <color rgb="FFE6007E"/>
      </dataBar>
      <extLst>
        <ext xmlns:x14="http://schemas.microsoft.com/office/spreadsheetml/2009/9/main" uri="{B025F937-C7B1-47D3-B67F-A62EFF666E3E}">
          <x14:id>{29BC9B40-AF80-4EB5-B9B2-A6597D1533D1}</x14:id>
        </ext>
      </extLst>
    </cfRule>
  </conditionalFormatting>
  <conditionalFormatting sqref="H30:H31">
    <cfRule type="dataBar" priority="8">
      <dataBar>
        <cfvo type="min"/>
        <cfvo type="max"/>
        <color rgb="FFE6007E"/>
      </dataBar>
      <extLst>
        <ext xmlns:x14="http://schemas.microsoft.com/office/spreadsheetml/2009/9/main" uri="{B025F937-C7B1-47D3-B67F-A62EFF666E3E}">
          <x14:id>{0FEF2EFF-D6B2-4AC1-8741-8D6DAB81DA20}</x14:id>
        </ext>
      </extLst>
    </cfRule>
  </conditionalFormatting>
  <conditionalFormatting sqref="H30:H31">
    <cfRule type="dataBar" priority="7">
      <dataBar>
        <cfvo type="min"/>
        <cfvo type="num" val="1"/>
        <color rgb="FFE6007E"/>
      </dataBar>
      <extLst>
        <ext xmlns:x14="http://schemas.microsoft.com/office/spreadsheetml/2009/9/main" uri="{B025F937-C7B1-47D3-B67F-A62EFF666E3E}">
          <x14:id>{98A4C535-F895-4679-914B-E2E3F12EC2B9}</x14:id>
        </ext>
      </extLst>
    </cfRule>
  </conditionalFormatting>
  <conditionalFormatting sqref="M32:M34">
    <cfRule type="dataBar" priority="79">
      <dataBar>
        <cfvo type="min"/>
        <cfvo type="max"/>
        <color rgb="FF638EC6"/>
      </dataBar>
      <extLst>
        <ext xmlns:x14="http://schemas.microsoft.com/office/spreadsheetml/2009/9/main" uri="{B025F937-C7B1-47D3-B67F-A62EFF666E3E}">
          <x14:id>{2E12C091-01E3-4EAC-BCE1-66D560A805B9}</x14:id>
        </ext>
      </extLst>
    </cfRule>
  </conditionalFormatting>
  <conditionalFormatting sqref="F7:G26 F30:G38">
    <cfRule type="dataBar" priority="2">
      <dataBar>
        <cfvo type="num" val="0"/>
        <cfvo type="num" val="1"/>
        <color rgb="FFB4A9D4"/>
      </dataBar>
      <extLst>
        <ext xmlns:x14="http://schemas.microsoft.com/office/spreadsheetml/2009/9/main" uri="{B025F937-C7B1-47D3-B67F-A62EFF666E3E}">
          <x14:id>{A485F367-DBAD-4F17-B4EA-72992A31CA53}</x14:id>
        </ext>
      </extLst>
    </cfRule>
  </conditionalFormatting>
  <conditionalFormatting sqref="F27:G29">
    <cfRule type="dataBar" priority="1">
      <dataBar>
        <cfvo type="num" val="0"/>
        <cfvo type="num" val="1"/>
        <color rgb="FFB4A9D4"/>
      </dataBar>
      <extLst>
        <ext xmlns:x14="http://schemas.microsoft.com/office/spreadsheetml/2009/9/main" uri="{B025F937-C7B1-47D3-B67F-A62EFF666E3E}">
          <x14:id>{E1A2E395-3CAF-4A1F-B07A-E9D0A752A1C3}</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9BC9B40-AF80-4EB5-B9B2-A6597D1533D1}">
            <x14:dataBar minLength="0" maxLength="100">
              <x14:cfvo type="autoMin"/>
              <x14:cfvo type="num">
                <xm:f>1</xm:f>
              </x14:cfvo>
              <x14:negativeFillColor rgb="FFFF0000"/>
              <x14:axisColor rgb="FF000000"/>
            </x14:dataBar>
          </x14:cfRule>
          <xm:sqref>H32</xm:sqref>
        </x14:conditionalFormatting>
        <x14:conditionalFormatting xmlns:xm="http://schemas.microsoft.com/office/excel/2006/main">
          <x14:cfRule type="dataBar" id="{0FEF2EFF-D6B2-4AC1-8741-8D6DAB81DA20}">
            <x14:dataBar minLength="0" maxLength="100">
              <x14:cfvo type="autoMin"/>
              <x14:cfvo type="autoMax"/>
              <x14:negativeFillColor rgb="FFFF0000"/>
              <x14:axisColor rgb="FF000000"/>
            </x14:dataBar>
          </x14:cfRule>
          <xm:sqref>H30:H31</xm:sqref>
        </x14:conditionalFormatting>
        <x14:conditionalFormatting xmlns:xm="http://schemas.microsoft.com/office/excel/2006/main">
          <x14:cfRule type="dataBar" id="{98A4C535-F895-4679-914B-E2E3F12EC2B9}">
            <x14:dataBar minLength="0" maxLength="100">
              <x14:cfvo type="autoMin"/>
              <x14:cfvo type="num">
                <xm:f>1</xm:f>
              </x14:cfvo>
              <x14:negativeFillColor rgb="FFFF0000"/>
              <x14:axisColor rgb="FF000000"/>
            </x14:dataBar>
          </x14:cfRule>
          <xm:sqref>H30:H31</xm:sqref>
        </x14:conditionalFormatting>
        <x14:conditionalFormatting xmlns:xm="http://schemas.microsoft.com/office/excel/2006/main">
          <x14:cfRule type="dataBar" id="{2E12C091-01E3-4EAC-BCE1-66D560A805B9}">
            <x14:dataBar minLength="0" maxLength="100" border="1" negativeBarBorderColorSameAsPositive="0">
              <x14:cfvo type="autoMin"/>
              <x14:cfvo type="autoMax"/>
              <x14:borderColor rgb="FF638EC6"/>
              <x14:negativeFillColor rgb="FFFF0000"/>
              <x14:negativeBorderColor rgb="FFFF0000"/>
              <x14:axisColor rgb="FF000000"/>
            </x14:dataBar>
          </x14:cfRule>
          <xm:sqref>M32:M34</xm:sqref>
        </x14:conditionalFormatting>
        <x14:conditionalFormatting xmlns:xm="http://schemas.microsoft.com/office/excel/2006/main">
          <x14:cfRule type="dataBar" id="{A485F367-DBAD-4F17-B4EA-72992A31CA53}">
            <x14:dataBar minLength="0" maxLength="100" gradient="0">
              <x14:cfvo type="num">
                <xm:f>0</xm:f>
              </x14:cfvo>
              <x14:cfvo type="num">
                <xm:f>1</xm:f>
              </x14:cfvo>
              <x14:negativeFillColor rgb="FFFF0000"/>
              <x14:axisColor rgb="FF000000"/>
            </x14:dataBar>
          </x14:cfRule>
          <xm:sqref>F7:G26 F30:G38</xm:sqref>
        </x14:conditionalFormatting>
        <x14:conditionalFormatting xmlns:xm="http://schemas.microsoft.com/office/excel/2006/main">
          <x14:cfRule type="dataBar" id="{E1A2E395-3CAF-4A1F-B07A-E9D0A752A1C3}">
            <x14:dataBar minLength="0" maxLength="100" gradient="0">
              <x14:cfvo type="num">
                <xm:f>0</xm:f>
              </x14:cfvo>
              <x14:cfvo type="num">
                <xm:f>1</xm:f>
              </x14:cfvo>
              <x14:negativeFillColor rgb="FFFF0000"/>
              <x14:axisColor rgb="FF000000"/>
            </x14:dataBar>
          </x14:cfRule>
          <xm:sqref>F27:G29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ColWidth="8.7265625" defaultRowHeight="16" customHeight="1" x14ac:dyDescent="0.35"/>
  <cols>
    <col min="1" max="1" width="40.7265625" style="11" customWidth="1"/>
    <col min="2" max="2" width="25.1796875" style="11" customWidth="1"/>
    <col min="3" max="3" width="21.26953125" style="11" customWidth="1"/>
    <col min="4" max="10" width="14.1796875" style="11" customWidth="1"/>
    <col min="11" max="11" width="13.453125" style="11" customWidth="1"/>
    <col min="12" max="12" width="9.54296875" style="11" bestFit="1" customWidth="1"/>
    <col min="13" max="16384" width="8.7265625" style="11"/>
  </cols>
  <sheetData>
    <row r="1" spans="1:35" ht="20.5" customHeight="1" x14ac:dyDescent="0.5">
      <c r="A1" s="10" t="s">
        <v>357</v>
      </c>
      <c r="B1" s="10"/>
      <c r="C1" s="10"/>
      <c r="D1" s="10"/>
      <c r="E1" s="10"/>
      <c r="F1" s="10"/>
      <c r="G1" s="10"/>
      <c r="H1" s="12"/>
      <c r="I1" s="12"/>
      <c r="J1" s="12"/>
      <c r="K1" s="12"/>
    </row>
    <row r="2" spans="1:35" ht="15.5" x14ac:dyDescent="0.35">
      <c r="A2" s="29" t="s">
        <v>209</v>
      </c>
      <c r="B2" s="33"/>
      <c r="C2" s="33"/>
      <c r="D2" s="33"/>
      <c r="E2" s="33"/>
      <c r="F2" s="33"/>
      <c r="G2" s="33"/>
      <c r="H2" s="18"/>
      <c r="I2" s="18"/>
      <c r="J2" s="18"/>
      <c r="K2" s="18"/>
      <c r="L2" s="24"/>
      <c r="M2" s="24"/>
      <c r="N2" s="24"/>
      <c r="O2" s="24"/>
      <c r="P2" s="24"/>
      <c r="Q2" s="24"/>
      <c r="R2" s="24"/>
      <c r="S2" s="24"/>
      <c r="T2" s="24"/>
      <c r="U2" s="24"/>
      <c r="V2" s="24"/>
      <c r="W2" s="24"/>
      <c r="X2" s="24"/>
      <c r="Y2" s="24"/>
      <c r="Z2" s="24"/>
      <c r="AA2" s="24"/>
      <c r="AB2" s="24"/>
    </row>
    <row r="3" spans="1:35" ht="16" customHeight="1" x14ac:dyDescent="0.35">
      <c r="A3" s="15" t="s">
        <v>210</v>
      </c>
      <c r="B3" s="33"/>
      <c r="C3" s="33"/>
      <c r="D3" s="33"/>
      <c r="E3" s="33"/>
      <c r="F3" s="33"/>
      <c r="G3" s="33"/>
      <c r="H3" s="18"/>
      <c r="I3" s="18"/>
      <c r="J3" s="18"/>
      <c r="K3" s="18"/>
      <c r="L3" s="24"/>
      <c r="M3" s="24"/>
      <c r="N3" s="24"/>
      <c r="O3" s="24"/>
      <c r="P3" s="24"/>
      <c r="Q3" s="24"/>
      <c r="R3" s="24"/>
      <c r="S3" s="24"/>
      <c r="T3" s="24"/>
      <c r="U3" s="24"/>
      <c r="V3" s="24"/>
      <c r="W3" s="24"/>
      <c r="X3" s="24"/>
      <c r="Y3" s="24"/>
      <c r="Z3" s="24"/>
      <c r="AA3" s="24"/>
      <c r="AB3" s="24"/>
    </row>
    <row r="4" spans="1:35" ht="16" customHeight="1" x14ac:dyDescent="0.35">
      <c r="A4" s="88" t="s">
        <v>345</v>
      </c>
      <c r="B4" s="33"/>
      <c r="C4" s="33"/>
      <c r="D4" s="33"/>
      <c r="E4" s="33"/>
      <c r="F4" s="33"/>
      <c r="G4" s="33"/>
      <c r="H4" s="18"/>
      <c r="I4" s="18"/>
      <c r="J4" s="18"/>
      <c r="K4" s="18"/>
      <c r="L4" s="24"/>
      <c r="M4" s="24"/>
      <c r="N4" s="24"/>
      <c r="O4" s="24"/>
      <c r="P4" s="24"/>
      <c r="Q4" s="24"/>
      <c r="R4" s="24"/>
      <c r="S4" s="24"/>
      <c r="T4" s="24"/>
      <c r="U4" s="24"/>
      <c r="V4" s="24"/>
      <c r="W4" s="24"/>
      <c r="X4" s="24"/>
      <c r="Y4" s="24"/>
      <c r="Z4" s="24"/>
      <c r="AA4" s="24"/>
      <c r="AB4" s="24"/>
    </row>
    <row r="5" spans="1:35" ht="16" customHeight="1" x14ac:dyDescent="0.35">
      <c r="A5" s="88" t="s">
        <v>346</v>
      </c>
      <c r="B5" s="33"/>
      <c r="C5" s="33"/>
      <c r="D5" s="33"/>
      <c r="E5" s="33"/>
      <c r="F5" s="33"/>
      <c r="G5" s="33"/>
      <c r="H5" s="18"/>
      <c r="I5" s="18"/>
      <c r="J5" s="18"/>
      <c r="K5" s="18"/>
      <c r="L5" s="24"/>
      <c r="M5" s="24"/>
      <c r="N5" s="24"/>
      <c r="O5" s="24"/>
      <c r="P5" s="24"/>
      <c r="Q5" s="24"/>
      <c r="R5" s="24"/>
      <c r="S5" s="24"/>
      <c r="T5" s="24"/>
      <c r="U5" s="24"/>
      <c r="V5" s="24"/>
      <c r="W5" s="24"/>
      <c r="X5" s="24"/>
      <c r="Y5" s="24"/>
      <c r="Z5" s="24"/>
      <c r="AA5" s="24"/>
      <c r="AB5" s="24"/>
    </row>
    <row r="6" spans="1:35" ht="16" customHeight="1" x14ac:dyDescent="0.35">
      <c r="A6" s="15" t="s">
        <v>349</v>
      </c>
      <c r="B6" s="33"/>
      <c r="C6" s="33"/>
      <c r="D6" s="33"/>
      <c r="E6" s="33"/>
      <c r="F6" s="33"/>
      <c r="G6" s="33"/>
      <c r="H6" s="18"/>
      <c r="I6" s="18"/>
      <c r="J6" s="18"/>
      <c r="K6" s="18"/>
      <c r="L6" s="24"/>
      <c r="M6" s="24"/>
      <c r="N6" s="24"/>
      <c r="O6" s="24"/>
      <c r="P6" s="24"/>
      <c r="Q6" s="24"/>
      <c r="R6" s="24"/>
      <c r="S6" s="24"/>
      <c r="T6" s="24"/>
      <c r="U6" s="24"/>
      <c r="V6" s="24"/>
      <c r="W6" s="32"/>
      <c r="X6" s="32"/>
      <c r="Y6" s="32"/>
      <c r="Z6" s="32"/>
      <c r="AA6" s="32"/>
      <c r="AB6" s="32"/>
      <c r="AC6" s="13"/>
      <c r="AD6" s="13"/>
      <c r="AE6" s="13"/>
      <c r="AF6" s="13"/>
      <c r="AG6" s="13"/>
      <c r="AH6" s="13"/>
      <c r="AI6" s="13"/>
    </row>
    <row r="7" spans="1:35" ht="46" customHeight="1" x14ac:dyDescent="0.35">
      <c r="A7" s="83" t="s">
        <v>269</v>
      </c>
      <c r="B7" s="82" t="s">
        <v>119</v>
      </c>
      <c r="C7" s="36"/>
      <c r="D7" s="36"/>
      <c r="E7" s="36"/>
      <c r="F7" s="36"/>
      <c r="G7" s="36"/>
      <c r="H7" s="36"/>
      <c r="I7" s="36"/>
      <c r="J7" s="36"/>
      <c r="K7" s="36"/>
      <c r="L7" s="36"/>
      <c r="M7" s="24"/>
      <c r="N7" s="24"/>
      <c r="O7" s="24"/>
      <c r="P7" s="24"/>
      <c r="Q7" s="24"/>
      <c r="R7" s="24"/>
      <c r="S7" s="24"/>
      <c r="T7" s="24"/>
      <c r="U7" s="24"/>
      <c r="V7" s="24"/>
      <c r="W7" s="24"/>
      <c r="X7" s="24"/>
      <c r="Y7" s="24"/>
      <c r="Z7" s="24"/>
      <c r="AA7" s="24"/>
      <c r="AB7" s="24"/>
    </row>
    <row r="8" spans="1:35" ht="46" customHeight="1" x14ac:dyDescent="0.35">
      <c r="A8" s="127" t="s">
        <v>273</v>
      </c>
      <c r="B8" s="232" t="s">
        <v>364</v>
      </c>
      <c r="C8" s="128" t="s">
        <v>358</v>
      </c>
      <c r="D8" s="124"/>
      <c r="E8" s="24"/>
      <c r="F8" s="24"/>
      <c r="G8" s="24"/>
      <c r="H8" s="24"/>
      <c r="I8" s="24"/>
      <c r="J8" s="24"/>
      <c r="K8" s="24"/>
      <c r="L8" s="24"/>
      <c r="M8" s="24"/>
      <c r="N8" s="24"/>
      <c r="O8" s="24"/>
      <c r="P8" s="24"/>
      <c r="Q8" s="24"/>
      <c r="R8" s="24"/>
      <c r="S8" s="24"/>
      <c r="T8" s="24"/>
      <c r="U8" s="24"/>
      <c r="V8" s="24"/>
      <c r="W8" s="24"/>
      <c r="X8" s="24"/>
      <c r="Y8" s="24"/>
      <c r="Z8" s="24"/>
      <c r="AA8" s="24"/>
    </row>
    <row r="9" spans="1:35" ht="16" customHeight="1" x14ac:dyDescent="0.35">
      <c r="A9" s="50" t="str">
        <f>"Total "&amp;$B$7</f>
        <v>Total All time</v>
      </c>
      <c r="B9" s="233">
        <f>VLOOKUP($A9, 'Table 7 - Full data'!$A$1:$C$145, 3, FALSE)</f>
        <v>12845</v>
      </c>
      <c r="C9" s="234">
        <f>VLOOKUP($A9, 'Table 7 - Full data'!$A$1:$C$145, 2, FALSE)</f>
        <v>22407939.640000001</v>
      </c>
      <c r="D9" s="124"/>
      <c r="E9" s="24"/>
      <c r="F9" s="24"/>
      <c r="G9" s="24"/>
      <c r="H9" s="24"/>
      <c r="I9" s="24"/>
      <c r="J9" s="24"/>
      <c r="K9" s="24"/>
      <c r="L9" s="24"/>
      <c r="M9" s="24"/>
      <c r="N9" s="24"/>
      <c r="O9" s="24"/>
      <c r="P9" s="24"/>
      <c r="Q9" s="24"/>
      <c r="R9" s="24"/>
      <c r="S9" s="24"/>
      <c r="T9" s="24"/>
      <c r="U9" s="24"/>
      <c r="V9" s="24"/>
      <c r="W9" s="24"/>
      <c r="X9" s="24"/>
      <c r="Y9" s="24"/>
      <c r="Z9" s="24"/>
      <c r="AA9" s="24"/>
    </row>
    <row r="10" spans="1:35" ht="16" customHeight="1" x14ac:dyDescent="0.35">
      <c r="A10" s="141" t="str">
        <f>"Aberdeen City " &amp;$B$7</f>
        <v>Aberdeen City All time</v>
      </c>
      <c r="B10" s="269">
        <f>VLOOKUP($A10, 'Table 7 - Full data'!$A$1:$C$145, 3, FALSE)</f>
        <v>300</v>
      </c>
      <c r="C10" s="235">
        <f>VLOOKUP($A10, 'Table 7 - Full data'!$A$1:$C$145, 2, FALSE)</f>
        <v>484772.39</v>
      </c>
      <c r="D10" s="124"/>
      <c r="E10" s="24"/>
      <c r="F10" s="24"/>
      <c r="G10" s="24"/>
      <c r="H10" s="24"/>
      <c r="I10" s="24"/>
      <c r="J10" s="24"/>
      <c r="K10" s="24"/>
      <c r="L10" s="24"/>
      <c r="M10" s="24"/>
      <c r="N10" s="24"/>
      <c r="O10" s="24"/>
      <c r="P10" s="24"/>
      <c r="Q10" s="24"/>
      <c r="R10" s="24"/>
      <c r="S10" s="24"/>
      <c r="T10" s="24"/>
      <c r="U10" s="24"/>
      <c r="V10" s="24"/>
      <c r="W10" s="24"/>
      <c r="X10" s="24"/>
      <c r="Y10" s="24"/>
      <c r="Z10" s="24"/>
      <c r="AA10" s="24"/>
    </row>
    <row r="11" spans="1:35" ht="16" customHeight="1" x14ac:dyDescent="0.35">
      <c r="A11" s="142" t="str">
        <f>"Aberdeenshire "&amp;$B$7</f>
        <v>Aberdeenshire All time</v>
      </c>
      <c r="B11" s="267">
        <f>VLOOKUP($A11, 'Table 7 - Full data'!$A$1:$C$145, 3, FALSE)</f>
        <v>220</v>
      </c>
      <c r="C11" s="235">
        <f>VLOOKUP($A11, 'Table 7 - Full data'!$A$1:$C$145, 2, FALSE)</f>
        <v>375694.22</v>
      </c>
      <c r="D11" s="124"/>
      <c r="E11" s="24"/>
      <c r="F11" s="24"/>
      <c r="G11" s="24"/>
      <c r="H11" s="24"/>
      <c r="I11" s="24"/>
      <c r="J11" s="24"/>
      <c r="K11" s="24"/>
      <c r="L11" s="24"/>
      <c r="M11" s="24"/>
      <c r="N11" s="24"/>
      <c r="O11" s="24"/>
      <c r="P11" s="24"/>
      <c r="Q11" s="24"/>
      <c r="R11" s="24"/>
      <c r="S11" s="24"/>
      <c r="T11" s="24"/>
      <c r="U11" s="24"/>
      <c r="V11" s="24"/>
      <c r="W11" s="24"/>
      <c r="X11" s="24"/>
      <c r="Y11" s="24"/>
      <c r="Z11" s="24"/>
      <c r="AA11" s="24"/>
    </row>
    <row r="12" spans="1:35" ht="16" customHeight="1" x14ac:dyDescent="0.35">
      <c r="A12" s="142" t="str">
        <f>"Angus "&amp;$B$7</f>
        <v>Angus All time</v>
      </c>
      <c r="B12" s="267">
        <f>VLOOKUP($A12, 'Table 7 - Full data'!$A$1:$C$145, 3, FALSE)</f>
        <v>175</v>
      </c>
      <c r="C12" s="235">
        <f>VLOOKUP($A12, 'Table 7 - Full data'!$A$1:$C$145, 2, FALSE)</f>
        <v>318289.87</v>
      </c>
      <c r="D12" s="124"/>
      <c r="E12" s="24"/>
      <c r="F12" s="24"/>
      <c r="G12" s="24"/>
      <c r="H12" s="24"/>
      <c r="I12" s="24"/>
      <c r="J12" s="24"/>
      <c r="K12" s="24"/>
      <c r="L12" s="24"/>
      <c r="M12" s="24"/>
      <c r="N12" s="24"/>
      <c r="O12" s="24"/>
      <c r="P12" s="24"/>
      <c r="Q12" s="24"/>
      <c r="R12" s="24"/>
      <c r="S12" s="24"/>
      <c r="T12" s="24"/>
      <c r="U12" s="24"/>
      <c r="V12" s="24"/>
      <c r="W12" s="24"/>
      <c r="X12" s="24"/>
      <c r="Y12" s="24"/>
      <c r="Z12" s="24"/>
      <c r="AA12" s="24"/>
    </row>
    <row r="13" spans="1:35" ht="16" customHeight="1" x14ac:dyDescent="0.35">
      <c r="A13" s="142" t="str">
        <f>"Argyll and Bute "&amp;$B$7</f>
        <v>Argyll and Bute All time</v>
      </c>
      <c r="B13" s="267">
        <f>VLOOKUP($A13, 'Table 7 - Full data'!$A$1:$C$145, 3, FALSE)</f>
        <v>140</v>
      </c>
      <c r="C13" s="235">
        <f>VLOOKUP($A13, 'Table 7 - Full data'!$A$1:$C$145, 2, FALSE)</f>
        <v>243184.58</v>
      </c>
      <c r="D13" s="124"/>
      <c r="E13" s="24"/>
      <c r="F13" s="24"/>
      <c r="G13" s="24"/>
      <c r="H13" s="24"/>
      <c r="I13" s="24"/>
      <c r="J13" s="24"/>
      <c r="K13" s="24"/>
      <c r="L13" s="24"/>
      <c r="M13" s="24"/>
      <c r="N13" s="24"/>
      <c r="O13" s="24"/>
      <c r="P13" s="24"/>
      <c r="Q13" s="24"/>
      <c r="R13" s="24"/>
      <c r="S13" s="24"/>
      <c r="T13" s="24"/>
      <c r="U13" s="24"/>
      <c r="V13" s="24"/>
      <c r="W13" s="24"/>
      <c r="X13" s="24"/>
      <c r="Y13" s="24"/>
      <c r="Z13" s="24"/>
      <c r="AA13" s="24"/>
    </row>
    <row r="14" spans="1:35" ht="16" customHeight="1" x14ac:dyDescent="0.35">
      <c r="A14" s="142" t="str">
        <f>"Clackmannanshire "&amp;$B$7</f>
        <v>Clackmannanshire All time</v>
      </c>
      <c r="B14" s="267">
        <f>VLOOKUP($A14, 'Table 7 - Full data'!$A$1:$C$145, 3, FALSE)</f>
        <v>165</v>
      </c>
      <c r="C14" s="235">
        <f>VLOOKUP($A14, 'Table 7 - Full data'!$A$1:$C$145, 2, FALSE)</f>
        <v>280534.90000000002</v>
      </c>
      <c r="D14" s="124"/>
      <c r="E14" s="24"/>
      <c r="F14" s="24"/>
      <c r="G14" s="24"/>
      <c r="H14" s="24"/>
      <c r="I14" s="24"/>
      <c r="J14" s="24"/>
      <c r="K14" s="24"/>
      <c r="L14" s="24"/>
      <c r="M14" s="24"/>
      <c r="N14" s="24"/>
      <c r="O14" s="24"/>
      <c r="P14" s="24"/>
      <c r="Q14" s="24"/>
      <c r="R14" s="24"/>
      <c r="S14" s="24"/>
      <c r="T14" s="24"/>
      <c r="U14" s="24"/>
      <c r="V14" s="24"/>
      <c r="W14" s="24"/>
      <c r="X14" s="24"/>
      <c r="Y14" s="24"/>
      <c r="Z14" s="24"/>
      <c r="AA14" s="24"/>
    </row>
    <row r="15" spans="1:35" ht="16" customHeight="1" x14ac:dyDescent="0.35">
      <c r="A15" s="142" t="str">
        <f>"Dumfries and Galloway "&amp;$B$7</f>
        <v>Dumfries and Galloway All time</v>
      </c>
      <c r="B15" s="267">
        <f>VLOOKUP($A15, 'Table 7 - Full data'!$A$1:$C$145, 3, FALSE)</f>
        <v>290</v>
      </c>
      <c r="C15" s="235">
        <f>VLOOKUP($A15, 'Table 7 - Full data'!$A$1:$C$145, 2, FALSE)</f>
        <v>515236.93</v>
      </c>
      <c r="D15" s="124"/>
      <c r="E15" s="24"/>
      <c r="F15" s="24"/>
      <c r="G15" s="24"/>
      <c r="H15" s="24"/>
      <c r="I15" s="24"/>
      <c r="J15" s="24"/>
      <c r="K15" s="24"/>
      <c r="L15" s="24"/>
      <c r="M15" s="24"/>
      <c r="N15" s="24"/>
      <c r="O15" s="24"/>
      <c r="P15" s="24"/>
      <c r="Q15" s="24"/>
      <c r="R15" s="24"/>
      <c r="S15" s="24"/>
      <c r="T15" s="24"/>
      <c r="U15" s="24"/>
      <c r="V15" s="24"/>
      <c r="W15" s="24"/>
      <c r="X15" s="24"/>
      <c r="Y15" s="24"/>
      <c r="Z15" s="24"/>
      <c r="AA15" s="24"/>
    </row>
    <row r="16" spans="1:35" ht="16" customHeight="1" x14ac:dyDescent="0.35">
      <c r="A16" s="142" t="str">
        <f>"Dundee City "&amp;$B$7</f>
        <v>Dundee City All time</v>
      </c>
      <c r="B16" s="267">
        <f>VLOOKUP($A16, 'Table 7 - Full data'!$A$1:$C$145, 3, FALSE)</f>
        <v>560</v>
      </c>
      <c r="C16" s="235">
        <f>VLOOKUP($A16, 'Table 7 - Full data'!$A$1:$C$145, 2, FALSE)</f>
        <v>1074523.17</v>
      </c>
      <c r="D16" s="124"/>
      <c r="E16" s="24"/>
      <c r="F16" s="24"/>
      <c r="G16" s="24"/>
      <c r="H16" s="24"/>
      <c r="I16" s="24"/>
      <c r="J16" s="24"/>
      <c r="K16" s="24"/>
      <c r="L16" s="24"/>
      <c r="M16" s="24"/>
      <c r="N16" s="24"/>
      <c r="O16" s="24"/>
      <c r="P16" s="24"/>
      <c r="Q16" s="24"/>
      <c r="R16" s="24"/>
      <c r="S16" s="24"/>
      <c r="T16" s="24"/>
      <c r="U16" s="24"/>
      <c r="V16" s="24"/>
      <c r="W16" s="24"/>
      <c r="X16" s="24"/>
      <c r="Y16" s="24"/>
      <c r="Z16" s="24"/>
      <c r="AA16" s="24"/>
    </row>
    <row r="17" spans="1:27" ht="16" customHeight="1" x14ac:dyDescent="0.35">
      <c r="A17" s="142" t="str">
        <f>"East Ayrshire "&amp;$B$7</f>
        <v>East Ayrshire All time</v>
      </c>
      <c r="B17" s="267">
        <f>VLOOKUP($A17, 'Table 7 - Full data'!$A$1:$C$145, 3, FALSE)</f>
        <v>375</v>
      </c>
      <c r="C17" s="235">
        <f>VLOOKUP($A17, 'Table 7 - Full data'!$A$1:$C$145, 2, FALSE)</f>
        <v>634087.22</v>
      </c>
      <c r="D17" s="124"/>
      <c r="E17" s="24"/>
      <c r="F17" s="24"/>
      <c r="G17" s="24"/>
      <c r="H17" s="24"/>
      <c r="I17" s="24"/>
      <c r="J17" s="24"/>
      <c r="K17" s="24"/>
      <c r="L17" s="24"/>
      <c r="M17" s="24"/>
      <c r="N17" s="24"/>
      <c r="O17" s="24"/>
      <c r="P17" s="24"/>
      <c r="Q17" s="24"/>
      <c r="R17" s="24"/>
      <c r="S17" s="24"/>
      <c r="T17" s="24"/>
      <c r="U17" s="24"/>
      <c r="V17" s="24"/>
      <c r="W17" s="24"/>
      <c r="X17" s="24"/>
      <c r="Y17" s="24"/>
      <c r="Z17" s="24"/>
      <c r="AA17" s="24"/>
    </row>
    <row r="18" spans="1:27" ht="16" customHeight="1" x14ac:dyDescent="0.35">
      <c r="A18" s="142" t="str">
        <f>"East Dunbartonshire "&amp;$B$7</f>
        <v>East Dunbartonshire All time</v>
      </c>
      <c r="B18" s="267">
        <f>VLOOKUP($A18, 'Table 7 - Full data'!$A$1:$C$145, 3, FALSE)</f>
        <v>130</v>
      </c>
      <c r="C18" s="235">
        <f>VLOOKUP($A18, 'Table 7 - Full data'!$A$1:$C$145, 2, FALSE)</f>
        <v>236104.51</v>
      </c>
      <c r="D18" s="124"/>
      <c r="E18" s="24"/>
      <c r="F18" s="24"/>
      <c r="G18" s="24"/>
      <c r="H18" s="24"/>
      <c r="I18" s="24"/>
      <c r="J18" s="24"/>
      <c r="K18" s="24"/>
      <c r="L18" s="24"/>
      <c r="M18" s="24"/>
      <c r="N18" s="24"/>
      <c r="O18" s="24"/>
      <c r="P18" s="24"/>
      <c r="Q18" s="24"/>
      <c r="R18" s="24"/>
      <c r="S18" s="24"/>
      <c r="T18" s="24"/>
      <c r="U18" s="24"/>
      <c r="V18" s="24"/>
      <c r="W18" s="24"/>
      <c r="X18" s="24"/>
      <c r="Y18" s="24"/>
      <c r="Z18" s="24"/>
      <c r="AA18" s="24"/>
    </row>
    <row r="19" spans="1:27" ht="16" customHeight="1" x14ac:dyDescent="0.35">
      <c r="A19" s="142" t="str">
        <f>"East Lothian "&amp;$B$7</f>
        <v>East Lothian All time</v>
      </c>
      <c r="B19" s="267">
        <f>VLOOKUP($A19, 'Table 7 - Full data'!$A$1:$C$145, 3, FALSE)</f>
        <v>145</v>
      </c>
      <c r="C19" s="235">
        <f>VLOOKUP($A19, 'Table 7 - Full data'!$A$1:$C$145, 2, FALSE)</f>
        <v>262391.90000000002</v>
      </c>
      <c r="D19" s="124"/>
      <c r="E19" s="24"/>
      <c r="F19" s="24"/>
      <c r="G19" s="24"/>
      <c r="H19" s="24"/>
      <c r="I19" s="24"/>
      <c r="J19" s="24"/>
      <c r="K19" s="24"/>
      <c r="L19" s="24"/>
      <c r="M19" s="24"/>
      <c r="N19" s="24"/>
      <c r="O19" s="24"/>
      <c r="P19" s="24"/>
      <c r="Q19" s="24"/>
      <c r="R19" s="24"/>
      <c r="S19" s="24"/>
      <c r="T19" s="24"/>
      <c r="U19" s="24"/>
      <c r="V19" s="24"/>
      <c r="W19" s="24"/>
      <c r="X19" s="24"/>
      <c r="Y19" s="24"/>
      <c r="Z19" s="24"/>
      <c r="AA19" s="24"/>
    </row>
    <row r="20" spans="1:27" ht="16" customHeight="1" x14ac:dyDescent="0.35">
      <c r="A20" s="142" t="str">
        <f>"East Renfrewshire "&amp;$B$7</f>
        <v>East Renfrewshire All time</v>
      </c>
      <c r="B20" s="267">
        <f>VLOOKUP($A20, 'Table 7 - Full data'!$A$1:$C$145, 3, FALSE)</f>
        <v>135</v>
      </c>
      <c r="C20" s="235">
        <f>VLOOKUP($A20, 'Table 7 - Full data'!$A$1:$C$145, 2, FALSE)</f>
        <v>233913.79</v>
      </c>
      <c r="D20" s="124"/>
      <c r="E20" s="24"/>
      <c r="F20" s="24"/>
      <c r="G20" s="24"/>
      <c r="H20" s="24"/>
      <c r="I20" s="24"/>
      <c r="J20" s="24"/>
      <c r="K20" s="24"/>
      <c r="L20" s="24"/>
      <c r="M20" s="24"/>
      <c r="N20" s="24"/>
      <c r="O20" s="24"/>
      <c r="P20" s="24"/>
      <c r="Q20" s="24"/>
      <c r="R20" s="24"/>
      <c r="S20" s="24"/>
      <c r="T20" s="24"/>
      <c r="U20" s="24"/>
      <c r="V20" s="24"/>
      <c r="W20" s="24"/>
      <c r="X20" s="24"/>
      <c r="Y20" s="24"/>
      <c r="Z20" s="24"/>
      <c r="AA20" s="24"/>
    </row>
    <row r="21" spans="1:27" ht="16" customHeight="1" x14ac:dyDescent="0.35">
      <c r="A21" s="140" t="str">
        <f>"Edinburgh, City of "&amp;$B$7</f>
        <v>Edinburgh, City of All time</v>
      </c>
      <c r="B21" s="267">
        <f>VLOOKUP($A21, 'Table 7 - Full data'!$A$1:$C$145, 3, FALSE)</f>
        <v>670</v>
      </c>
      <c r="C21" s="235">
        <f>VLOOKUP($A21, 'Table 7 - Full data'!$A$1:$C$145, 2, FALSE)</f>
        <v>1199970.48</v>
      </c>
      <c r="D21" s="124"/>
      <c r="E21" s="24"/>
      <c r="F21" s="24"/>
      <c r="G21" s="24"/>
      <c r="H21" s="24"/>
      <c r="I21" s="24"/>
      <c r="J21" s="24"/>
      <c r="K21" s="24"/>
      <c r="L21" s="24"/>
      <c r="M21" s="24"/>
      <c r="N21" s="24"/>
      <c r="O21" s="24"/>
      <c r="P21" s="24"/>
      <c r="Q21" s="24"/>
      <c r="R21" s="24"/>
      <c r="S21" s="24"/>
      <c r="T21" s="24"/>
      <c r="U21" s="24"/>
      <c r="V21" s="24"/>
      <c r="W21" s="24"/>
      <c r="X21" s="24"/>
      <c r="Y21" s="24"/>
      <c r="Z21" s="24"/>
      <c r="AA21" s="24"/>
    </row>
    <row r="22" spans="1:27" ht="16" customHeight="1" x14ac:dyDescent="0.35">
      <c r="A22" s="140" t="str">
        <f>"Falkirk "&amp;$B$7</f>
        <v>Falkirk All time</v>
      </c>
      <c r="B22" s="267">
        <f>VLOOKUP($A22, 'Table 7 - Full data'!$A$1:$C$145, 3, FALSE)</f>
        <v>335</v>
      </c>
      <c r="C22" s="235">
        <f>VLOOKUP($A22, 'Table 7 - Full data'!$A$1:$C$145, 2, FALSE)</f>
        <v>555266.63</v>
      </c>
      <c r="D22" s="124"/>
      <c r="E22" s="24"/>
      <c r="F22" s="24"/>
      <c r="G22" s="24"/>
      <c r="H22" s="24"/>
      <c r="I22" s="24"/>
      <c r="J22" s="24"/>
      <c r="K22" s="24"/>
      <c r="L22" s="24"/>
      <c r="M22" s="24"/>
      <c r="N22" s="24"/>
      <c r="O22" s="24"/>
      <c r="P22" s="24"/>
      <c r="Q22" s="24"/>
      <c r="R22" s="24"/>
      <c r="S22" s="24"/>
      <c r="T22" s="24"/>
      <c r="U22" s="24"/>
      <c r="V22" s="24"/>
      <c r="W22" s="24"/>
      <c r="X22" s="24"/>
      <c r="Y22" s="24"/>
      <c r="Z22" s="24"/>
      <c r="AA22" s="24"/>
    </row>
    <row r="23" spans="1:27" ht="16" customHeight="1" x14ac:dyDescent="0.35">
      <c r="A23" s="142" t="str">
        <f>"Fife "&amp;$B$7</f>
        <v>Fife All time</v>
      </c>
      <c r="B23" s="267">
        <f>VLOOKUP($A23, 'Table 7 - Full data'!$A$1:$C$145, 3, FALSE)</f>
        <v>645</v>
      </c>
      <c r="C23" s="235">
        <f>VLOOKUP($A23, 'Table 7 - Full data'!$A$1:$C$145, 2, FALSE)</f>
        <v>1065827.02</v>
      </c>
      <c r="D23" s="1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16" customHeight="1" x14ac:dyDescent="0.35">
      <c r="A24" s="142" t="str">
        <f>"Glasgow City "&amp;$B$7</f>
        <v>Glasgow City All time</v>
      </c>
      <c r="B24" s="267">
        <f>VLOOKUP($A24, 'Table 7 - Full data'!$A$1:$C$145, 3, FALSE)</f>
        <v>2980</v>
      </c>
      <c r="C24" s="235">
        <f>VLOOKUP($A24, 'Table 7 - Full data'!$A$1:$C$145, 2, FALSE)</f>
        <v>5090269.7699999996</v>
      </c>
      <c r="D24" s="1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6" customHeight="1" x14ac:dyDescent="0.35">
      <c r="A25" s="142" t="str">
        <f>"Highland "&amp;$B$7</f>
        <v>Highland All time</v>
      </c>
      <c r="B25" s="267">
        <f>VLOOKUP($A25, 'Table 7 - Full data'!$A$1:$C$145, 3, FALSE)</f>
        <v>355</v>
      </c>
      <c r="C25" s="235">
        <f>VLOOKUP($A25, 'Table 7 - Full data'!$A$1:$C$145, 2, FALSE)</f>
        <v>667729.23</v>
      </c>
      <c r="D25" s="124"/>
      <c r="E25" s="24"/>
      <c r="F25" s="24"/>
      <c r="G25" s="24"/>
      <c r="H25" s="24"/>
      <c r="I25" s="24"/>
      <c r="J25" s="24"/>
      <c r="K25" s="24"/>
      <c r="L25" s="24"/>
      <c r="M25" s="24"/>
      <c r="N25" s="24"/>
      <c r="O25" s="24"/>
      <c r="P25" s="24"/>
      <c r="Q25" s="24"/>
      <c r="R25" s="24"/>
      <c r="S25" s="24"/>
      <c r="T25" s="24"/>
      <c r="U25" s="24"/>
      <c r="V25" s="24"/>
      <c r="W25" s="24"/>
      <c r="X25" s="24"/>
      <c r="Y25" s="24"/>
      <c r="Z25" s="24"/>
      <c r="AA25" s="24"/>
    </row>
    <row r="26" spans="1:27" ht="16" customHeight="1" x14ac:dyDescent="0.35">
      <c r="A26" s="142" t="str">
        <f>"Inverclyde "&amp;$B$7</f>
        <v>Inverclyde All time</v>
      </c>
      <c r="B26" s="267">
        <f>VLOOKUP($A26, 'Table 7 - Full data'!$A$1:$C$145, 3, FALSE)</f>
        <v>285</v>
      </c>
      <c r="C26" s="235">
        <f>VLOOKUP($A26, 'Table 7 - Full data'!$A$1:$C$145, 2, FALSE)</f>
        <v>449845.21</v>
      </c>
      <c r="D26" s="1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6" customHeight="1" x14ac:dyDescent="0.35">
      <c r="A27" s="142" t="str">
        <f>"Midlothian "&amp;$B$7</f>
        <v>Midlothian All time</v>
      </c>
      <c r="B27" s="267">
        <f>VLOOKUP($A27, 'Table 7 - Full data'!$A$1:$C$145, 3, FALSE)</f>
        <v>150</v>
      </c>
      <c r="C27" s="235">
        <f>VLOOKUP($A27, 'Table 7 - Full data'!$A$1:$C$145, 2, FALSE)</f>
        <v>265798.96999999997</v>
      </c>
      <c r="D27" s="124"/>
      <c r="E27" s="24"/>
      <c r="F27" s="24"/>
      <c r="G27" s="24"/>
      <c r="H27" s="24"/>
      <c r="I27" s="24"/>
      <c r="J27" s="24"/>
      <c r="K27" s="24"/>
      <c r="L27" s="24"/>
      <c r="M27" s="24"/>
      <c r="N27" s="24"/>
      <c r="O27" s="24"/>
      <c r="P27" s="24"/>
      <c r="Q27" s="24"/>
      <c r="R27" s="24"/>
      <c r="S27" s="24"/>
      <c r="T27" s="24"/>
      <c r="U27" s="24"/>
      <c r="V27" s="24"/>
      <c r="W27" s="24"/>
      <c r="X27" s="24"/>
      <c r="Y27" s="24"/>
      <c r="Z27" s="24"/>
      <c r="AA27" s="24"/>
    </row>
    <row r="28" spans="1:27" ht="16" customHeight="1" x14ac:dyDescent="0.35">
      <c r="A28" s="142" t="str">
        <f>"Moray "&amp;$B$7</f>
        <v>Moray All time</v>
      </c>
      <c r="B28" s="267">
        <f>VLOOKUP($A28, 'Table 7 - Full data'!$A$1:$C$145, 3, FALSE)</f>
        <v>120</v>
      </c>
      <c r="C28" s="235">
        <f>VLOOKUP($A28, 'Table 7 - Full data'!$A$1:$C$145, 2, FALSE)</f>
        <v>214399.63</v>
      </c>
      <c r="D28" s="124"/>
      <c r="E28" s="24"/>
      <c r="F28" s="24"/>
      <c r="G28" s="24"/>
      <c r="H28" s="24"/>
      <c r="I28" s="24"/>
      <c r="J28" s="24"/>
      <c r="K28" s="24"/>
      <c r="L28" s="24"/>
      <c r="M28" s="24"/>
      <c r="N28" s="24"/>
      <c r="O28" s="24"/>
      <c r="P28" s="24"/>
      <c r="Q28" s="24"/>
      <c r="R28" s="24"/>
      <c r="S28" s="24"/>
      <c r="T28" s="24"/>
      <c r="U28" s="24"/>
      <c r="V28" s="24"/>
      <c r="W28" s="24"/>
      <c r="X28" s="24"/>
      <c r="Y28" s="24"/>
      <c r="Z28" s="24"/>
      <c r="AA28" s="24"/>
    </row>
    <row r="29" spans="1:27" ht="16" customHeight="1" x14ac:dyDescent="0.35">
      <c r="A29" s="142" t="str">
        <f>"Na h-Eileanan Siar "&amp;$B$7</f>
        <v>Na h-Eileanan Siar All time</v>
      </c>
      <c r="B29" s="267">
        <f>VLOOKUP($A29, 'Table 7 - Full data'!$A$1:$C$145, 3, FALSE)</f>
        <v>25</v>
      </c>
      <c r="C29" s="235">
        <f>VLOOKUP($A29, 'Table 7 - Full data'!$A$1:$C$145, 2, FALSE)</f>
        <v>40712.51</v>
      </c>
      <c r="D29" s="124"/>
      <c r="E29" s="24"/>
      <c r="F29" s="24"/>
      <c r="G29" s="24"/>
      <c r="H29" s="24"/>
      <c r="I29" s="24"/>
      <c r="J29" s="24"/>
      <c r="K29" s="24"/>
      <c r="L29" s="24"/>
      <c r="M29" s="24"/>
      <c r="N29" s="24"/>
      <c r="O29" s="24"/>
      <c r="P29" s="24"/>
      <c r="Q29" s="24"/>
      <c r="R29" s="24"/>
      <c r="S29" s="24"/>
      <c r="T29" s="24"/>
      <c r="U29" s="24"/>
      <c r="V29" s="24"/>
      <c r="W29" s="24"/>
      <c r="X29" s="24"/>
      <c r="Y29" s="24"/>
      <c r="Z29" s="24"/>
      <c r="AA29" s="24"/>
    </row>
    <row r="30" spans="1:27" ht="16" customHeight="1" x14ac:dyDescent="0.35">
      <c r="A30" s="142" t="str">
        <f>"North Ayrshire "&amp;$B$7</f>
        <v>North Ayrshire All time</v>
      </c>
      <c r="B30" s="267">
        <f>VLOOKUP($A30, 'Table 7 - Full data'!$A$1:$C$145, 3, FALSE)</f>
        <v>495</v>
      </c>
      <c r="C30" s="235">
        <f>VLOOKUP($A30, 'Table 7 - Full data'!$A$1:$C$145, 2, FALSE)</f>
        <v>906354.13</v>
      </c>
      <c r="D30" s="1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16" customHeight="1" x14ac:dyDescent="0.35">
      <c r="A31" s="142" t="str">
        <f>"North Lanarkshire "&amp;$B$7</f>
        <v>North Lanarkshire All time</v>
      </c>
      <c r="B31" s="267">
        <f>VLOOKUP($A31, 'Table 7 - Full data'!$A$1:$C$145, 3, FALSE)</f>
        <v>1250</v>
      </c>
      <c r="C31" s="235">
        <f>VLOOKUP($A31, 'Table 7 - Full data'!$A$1:$C$145, 2, FALSE)</f>
        <v>2304587.67</v>
      </c>
      <c r="D31" s="1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6" customHeight="1" x14ac:dyDescent="0.35">
      <c r="A32" s="140" t="str">
        <f>"Orkney Islands "&amp;$B$7</f>
        <v>Orkney Islands All time</v>
      </c>
      <c r="B32" s="267">
        <f>VLOOKUP($A32, 'Table 7 - Full data'!$A$1:$C$145, 3, FALSE)</f>
        <v>15</v>
      </c>
      <c r="C32" s="235">
        <f>VLOOKUP($A32, 'Table 7 - Full data'!$A$1:$C$145, 2, FALSE)</f>
        <v>21208.91</v>
      </c>
      <c r="D32" s="124"/>
      <c r="E32" s="24"/>
      <c r="F32" s="24"/>
      <c r="G32" s="24"/>
      <c r="H32" s="24"/>
      <c r="I32" s="24"/>
      <c r="J32" s="24"/>
      <c r="K32" s="24"/>
      <c r="L32" s="24"/>
      <c r="M32" s="24"/>
      <c r="N32" s="24"/>
      <c r="O32" s="24"/>
      <c r="P32" s="24"/>
      <c r="Q32" s="24"/>
      <c r="R32" s="24"/>
      <c r="S32" s="24"/>
      <c r="T32" s="24"/>
      <c r="U32" s="24"/>
      <c r="V32" s="24"/>
      <c r="W32" s="24"/>
      <c r="X32" s="24"/>
      <c r="Y32" s="24"/>
      <c r="Z32" s="24"/>
      <c r="AA32" s="24"/>
    </row>
    <row r="33" spans="1:28" ht="16" customHeight="1" x14ac:dyDescent="0.35">
      <c r="A33" s="142" t="str">
        <f>"Perth and Kinross "&amp;$B$7</f>
        <v>Perth and Kinross All time</v>
      </c>
      <c r="B33" s="267">
        <f>VLOOKUP($A33, 'Table 7 - Full data'!$A$1:$C$145, 3, FALSE)</f>
        <v>180</v>
      </c>
      <c r="C33" s="235">
        <f>VLOOKUP($A33, 'Table 7 - Full data'!$A$1:$C$145, 2, FALSE)</f>
        <v>332593.71000000002</v>
      </c>
      <c r="D33" s="124"/>
      <c r="E33" s="24"/>
      <c r="F33" s="24"/>
      <c r="G33" s="24"/>
      <c r="H33" s="24"/>
      <c r="I33" s="24"/>
      <c r="J33" s="24"/>
      <c r="K33" s="24"/>
      <c r="L33" s="24"/>
      <c r="M33" s="24"/>
      <c r="N33" s="24"/>
      <c r="O33" s="24"/>
      <c r="P33" s="24"/>
      <c r="Q33" s="24"/>
      <c r="R33" s="24"/>
      <c r="S33" s="24"/>
      <c r="T33" s="24"/>
      <c r="U33" s="24"/>
      <c r="V33" s="24"/>
      <c r="W33" s="24"/>
      <c r="X33" s="24"/>
      <c r="Y33" s="24"/>
      <c r="Z33" s="24"/>
      <c r="AA33" s="24"/>
    </row>
    <row r="34" spans="1:28" ht="16" customHeight="1" x14ac:dyDescent="0.35">
      <c r="A34" s="142" t="str">
        <f>"Renfrewshire "&amp;$B$7</f>
        <v>Renfrewshire All time</v>
      </c>
      <c r="B34" s="267">
        <f>VLOOKUP($A34, 'Table 7 - Full data'!$A$1:$C$145, 3, FALSE)</f>
        <v>435</v>
      </c>
      <c r="C34" s="235">
        <f>VLOOKUP($A34, 'Table 7 - Full data'!$A$1:$C$145, 2, FALSE)</f>
        <v>716364.09</v>
      </c>
      <c r="D34" s="124"/>
      <c r="E34" s="24"/>
      <c r="F34" s="24"/>
      <c r="G34" s="24"/>
      <c r="H34" s="24"/>
      <c r="I34" s="24"/>
      <c r="J34" s="24"/>
      <c r="K34" s="24"/>
      <c r="L34" s="24"/>
      <c r="M34" s="24"/>
      <c r="N34" s="24"/>
      <c r="O34" s="24"/>
      <c r="P34" s="24"/>
      <c r="Q34" s="24"/>
      <c r="R34" s="24"/>
      <c r="S34" s="24"/>
      <c r="T34" s="24"/>
      <c r="U34" s="24"/>
      <c r="V34" s="24"/>
      <c r="W34" s="24"/>
      <c r="X34" s="24"/>
      <c r="Y34" s="24"/>
      <c r="Z34" s="24"/>
      <c r="AA34" s="24"/>
    </row>
    <row r="35" spans="1:28" ht="16" customHeight="1" x14ac:dyDescent="0.35">
      <c r="A35" s="142" t="str">
        <f>"Scottish Borders "&amp;$B$7</f>
        <v>Scottish Borders All time</v>
      </c>
      <c r="B35" s="267">
        <f>VLOOKUP($A35, 'Table 7 - Full data'!$A$1:$C$145, 3, FALSE)</f>
        <v>155</v>
      </c>
      <c r="C35" s="235">
        <f>VLOOKUP($A35, 'Table 7 - Full data'!$A$1:$C$145, 2, FALSE)</f>
        <v>267929.2</v>
      </c>
      <c r="D35" s="124"/>
      <c r="E35" s="24"/>
      <c r="F35" s="24"/>
      <c r="G35" s="24"/>
      <c r="H35" s="24"/>
      <c r="I35" s="24"/>
      <c r="J35" s="24"/>
      <c r="K35" s="24"/>
      <c r="L35" s="24"/>
      <c r="M35" s="24"/>
      <c r="N35" s="24"/>
      <c r="O35" s="24"/>
      <c r="P35" s="24"/>
      <c r="Q35" s="24"/>
      <c r="R35" s="24"/>
      <c r="S35" s="24"/>
      <c r="T35" s="24"/>
      <c r="U35" s="24"/>
      <c r="V35" s="24"/>
      <c r="W35" s="24"/>
      <c r="X35" s="24"/>
      <c r="Y35" s="24"/>
      <c r="Z35" s="24"/>
      <c r="AA35" s="24"/>
    </row>
    <row r="36" spans="1:28" ht="16" customHeight="1" x14ac:dyDescent="0.35">
      <c r="A36" s="142" t="str">
        <f>"Shetland Islands "&amp;$B$7</f>
        <v>Shetland Islands All time</v>
      </c>
      <c r="B36" s="271">
        <f>VLOOKUP($A36, 'Table 7 - Full data'!$A$1:$C$145, 3, FALSE)</f>
        <v>20</v>
      </c>
      <c r="C36" s="235">
        <f>VLOOKUP($A36, 'Table 7 - Full data'!$A$1:$C$145, 2, FALSE)</f>
        <v>32187.59</v>
      </c>
      <c r="D36" s="124"/>
      <c r="E36" s="24"/>
      <c r="F36" s="24"/>
      <c r="G36" s="24"/>
      <c r="H36" s="24"/>
      <c r="I36" s="24"/>
      <c r="J36" s="24"/>
      <c r="K36" s="24"/>
      <c r="L36" s="24"/>
      <c r="M36" s="24"/>
      <c r="N36" s="24"/>
      <c r="O36" s="24"/>
      <c r="P36" s="24"/>
      <c r="Q36" s="24"/>
      <c r="R36" s="24"/>
      <c r="S36" s="24"/>
      <c r="T36" s="24"/>
      <c r="U36" s="24"/>
      <c r="V36" s="24"/>
      <c r="W36" s="24"/>
      <c r="X36" s="24"/>
      <c r="Y36" s="24"/>
      <c r="Z36" s="24"/>
      <c r="AA36" s="24"/>
    </row>
    <row r="37" spans="1:28" ht="16" customHeight="1" x14ac:dyDescent="0.35">
      <c r="A37" s="142" t="str">
        <f>"South Ayrshire "&amp;$B$7</f>
        <v>South Ayrshire All time</v>
      </c>
      <c r="B37" s="267">
        <f>VLOOKUP($A37, 'Table 7 - Full data'!$A$1:$C$145, 3, FALSE)</f>
        <v>250</v>
      </c>
      <c r="C37" s="235">
        <f>VLOOKUP($A37, 'Table 7 - Full data'!$A$1:$C$145, 2, FALSE)</f>
        <v>436922.43</v>
      </c>
      <c r="D37" s="124"/>
      <c r="E37" s="24"/>
      <c r="F37" s="24"/>
      <c r="G37" s="24"/>
      <c r="H37" s="24"/>
      <c r="I37" s="24"/>
      <c r="J37" s="24"/>
      <c r="K37" s="24"/>
      <c r="L37" s="24"/>
      <c r="M37" s="24"/>
      <c r="N37" s="24"/>
      <c r="O37" s="24"/>
      <c r="P37" s="24"/>
      <c r="Q37" s="24"/>
      <c r="R37" s="24"/>
      <c r="S37" s="24"/>
      <c r="T37" s="24"/>
      <c r="U37" s="24"/>
      <c r="V37" s="24"/>
      <c r="W37" s="24"/>
      <c r="X37" s="24"/>
      <c r="Y37" s="24"/>
      <c r="Z37" s="24"/>
      <c r="AA37" s="24"/>
    </row>
    <row r="38" spans="1:28" ht="16" customHeight="1" x14ac:dyDescent="0.35">
      <c r="A38" s="142" t="str">
        <f>"South Lanarkshire "&amp;$B$7</f>
        <v>South Lanarkshire All time</v>
      </c>
      <c r="B38" s="267">
        <f>VLOOKUP($A38, 'Table 7 - Full data'!$A$1:$C$145, 3, FALSE)</f>
        <v>965</v>
      </c>
      <c r="C38" s="235">
        <f>VLOOKUP($A38, 'Table 7 - Full data'!$A$1:$C$145, 2, FALSE)</f>
        <v>1642779.85</v>
      </c>
      <c r="D38" s="124"/>
      <c r="E38" s="24"/>
      <c r="F38" s="24"/>
      <c r="G38" s="24"/>
      <c r="H38" s="24"/>
      <c r="I38" s="24"/>
      <c r="J38" s="24"/>
      <c r="K38" s="24"/>
      <c r="L38" s="24"/>
      <c r="M38" s="24"/>
      <c r="N38" s="24"/>
      <c r="O38" s="24"/>
      <c r="P38" s="24"/>
      <c r="Q38" s="24"/>
      <c r="R38" s="24"/>
      <c r="S38" s="24"/>
      <c r="T38" s="24"/>
      <c r="U38" s="24"/>
      <c r="V38" s="24"/>
      <c r="W38" s="24"/>
      <c r="X38" s="24"/>
      <c r="Y38" s="24"/>
      <c r="Z38" s="24"/>
      <c r="AA38" s="24"/>
    </row>
    <row r="39" spans="1:28" ht="16" customHeight="1" x14ac:dyDescent="0.35">
      <c r="A39" s="142" t="str">
        <f>"Stirling "&amp;$B$7</f>
        <v>Stirling All time</v>
      </c>
      <c r="B39" s="267">
        <f>VLOOKUP($A39, 'Table 7 - Full data'!$A$1:$C$145, 3, FALSE)</f>
        <v>160</v>
      </c>
      <c r="C39" s="235">
        <f>VLOOKUP($A39, 'Table 7 - Full data'!$A$1:$C$145, 2, FALSE)</f>
        <v>299422.5</v>
      </c>
      <c r="D39" s="124"/>
      <c r="E39" s="24"/>
      <c r="F39" s="24"/>
      <c r="G39" s="24"/>
      <c r="H39" s="24"/>
      <c r="I39" s="24"/>
      <c r="J39" s="24"/>
      <c r="K39" s="24"/>
      <c r="L39" s="24"/>
      <c r="M39" s="24"/>
      <c r="N39" s="24"/>
      <c r="O39" s="24"/>
      <c r="P39" s="24"/>
      <c r="Q39" s="24"/>
      <c r="R39" s="24"/>
      <c r="S39" s="24"/>
      <c r="T39" s="24"/>
      <c r="U39" s="24"/>
      <c r="V39" s="24"/>
      <c r="W39" s="24"/>
      <c r="X39" s="24"/>
      <c r="Y39" s="24"/>
      <c r="Z39" s="24"/>
      <c r="AA39" s="24"/>
    </row>
    <row r="40" spans="1:28" ht="16" customHeight="1" x14ac:dyDescent="0.35">
      <c r="A40" s="142" t="str">
        <f>"West Dunbartonshire "&amp;$B$7</f>
        <v>West Dunbartonshire All time</v>
      </c>
      <c r="B40" s="267">
        <f>VLOOKUP($A40, 'Table 7 - Full data'!$A$1:$C$145, 3, FALSE)</f>
        <v>330</v>
      </c>
      <c r="C40" s="235">
        <f>VLOOKUP($A40, 'Table 7 - Full data'!$A$1:$C$145, 2, FALSE)</f>
        <v>565528.38</v>
      </c>
      <c r="D40" s="124"/>
      <c r="E40" s="24"/>
      <c r="F40" s="24"/>
      <c r="G40" s="24"/>
      <c r="H40" s="24"/>
      <c r="I40" s="24"/>
      <c r="J40" s="24"/>
      <c r="K40" s="24"/>
      <c r="L40" s="24"/>
      <c r="M40" s="24"/>
      <c r="N40" s="24"/>
      <c r="O40" s="24"/>
      <c r="P40" s="24"/>
      <c r="Q40" s="24"/>
      <c r="R40" s="24"/>
      <c r="S40" s="24"/>
      <c r="T40" s="24"/>
      <c r="U40" s="24"/>
      <c r="V40" s="24"/>
      <c r="W40" s="24"/>
      <c r="X40" s="24"/>
      <c r="Y40" s="24"/>
      <c r="Z40" s="24"/>
      <c r="AA40" s="24"/>
    </row>
    <row r="41" spans="1:28" ht="16" customHeight="1" x14ac:dyDescent="0.35">
      <c r="A41" s="142" t="str">
        <f>"West Lothian "&amp;$B$7</f>
        <v>West Lothian All time</v>
      </c>
      <c r="B41" s="267">
        <f>VLOOKUP($A41, 'Table 7 - Full data'!$A$1:$C$145, 3, FALSE)</f>
        <v>390</v>
      </c>
      <c r="C41" s="235">
        <f>VLOOKUP($A41, 'Table 7 - Full data'!$A$1:$C$145, 2, FALSE)</f>
        <v>646436.80000000005</v>
      </c>
      <c r="D41" s="124"/>
      <c r="E41" s="24"/>
      <c r="F41" s="24"/>
      <c r="G41" s="24"/>
      <c r="H41" s="24"/>
      <c r="I41" s="24"/>
      <c r="J41" s="24"/>
      <c r="K41" s="24"/>
      <c r="L41" s="24"/>
      <c r="M41" s="24"/>
      <c r="N41" s="24"/>
      <c r="O41" s="24"/>
      <c r="P41" s="24"/>
      <c r="Q41" s="24"/>
      <c r="R41" s="24"/>
      <c r="S41" s="24"/>
      <c r="T41" s="24"/>
      <c r="U41" s="24"/>
      <c r="V41" s="24"/>
      <c r="W41" s="24"/>
      <c r="X41" s="24"/>
      <c r="Y41" s="24"/>
      <c r="Z41" s="24"/>
      <c r="AA41" s="24"/>
    </row>
    <row r="42" spans="1:28" ht="16" customHeight="1" x14ac:dyDescent="0.35">
      <c r="A42" s="142" t="str">
        <f>"Unknown - Scottish Address "&amp;$B$7</f>
        <v>Unknown - Scottish Address All time</v>
      </c>
      <c r="B42" s="267">
        <f>VLOOKUP($A42, 'Table 7 - Full data'!$A$1:$C$145, 3, FALSE)</f>
        <v>5</v>
      </c>
      <c r="C42" s="235">
        <f>VLOOKUP($A42, 'Table 7 - Full data'!$A$1:$C$145, 2, FALSE)</f>
        <v>12312.2</v>
      </c>
      <c r="D42" s="124"/>
      <c r="E42" s="24"/>
      <c r="F42" s="24"/>
      <c r="G42" s="24"/>
      <c r="H42" s="24"/>
      <c r="I42" s="24"/>
      <c r="J42" s="24"/>
      <c r="K42" s="24"/>
      <c r="L42" s="24"/>
      <c r="M42" s="24"/>
      <c r="N42" s="24"/>
      <c r="O42" s="24"/>
      <c r="P42" s="24"/>
      <c r="Q42" s="24"/>
      <c r="R42" s="24"/>
      <c r="S42" s="24"/>
      <c r="T42" s="24"/>
      <c r="U42" s="24"/>
      <c r="V42" s="24"/>
      <c r="W42" s="24"/>
      <c r="X42" s="24"/>
      <c r="Y42" s="24"/>
      <c r="Z42" s="24"/>
      <c r="AA42" s="24"/>
    </row>
    <row r="43" spans="1:28" ht="16" customHeight="1" x14ac:dyDescent="0.35">
      <c r="A43" s="32" t="str">
        <f>"Non-Scottish postcode "&amp;$B$7</f>
        <v>Non-Scottish postcode All time</v>
      </c>
      <c r="B43" s="267">
        <f>VLOOKUP($A43, 'Table 7 - Full data'!$A$1:$C$145, 3, FALSE)</f>
        <v>10</v>
      </c>
      <c r="C43" s="235">
        <f>VLOOKUP($A43, 'Table 7 - Full data'!$A$1:$C$145, 2, FALSE)</f>
        <v>13128.25</v>
      </c>
      <c r="D43" s="124"/>
      <c r="E43" s="24"/>
      <c r="F43" s="24"/>
      <c r="G43" s="24"/>
      <c r="H43" s="24"/>
      <c r="I43" s="24"/>
      <c r="J43" s="24"/>
      <c r="K43" s="24"/>
      <c r="L43" s="24"/>
      <c r="M43" s="24"/>
      <c r="N43" s="24"/>
      <c r="O43" s="24"/>
      <c r="P43" s="24"/>
      <c r="Q43" s="24"/>
      <c r="R43" s="24"/>
      <c r="S43" s="24"/>
      <c r="T43" s="24"/>
      <c r="U43" s="24"/>
      <c r="V43" s="24"/>
      <c r="W43" s="24"/>
      <c r="X43" s="24"/>
      <c r="Y43" s="24"/>
      <c r="Z43" s="24"/>
      <c r="AA43" s="24"/>
    </row>
    <row r="44" spans="1:28" ht="16" customHeight="1" x14ac:dyDescent="0.35">
      <c r="A44" s="26" t="str">
        <f>"No Address "&amp;$B$7</f>
        <v>No Address All time</v>
      </c>
      <c r="B44" s="267" t="str">
        <f>VLOOKUP($A44, 'Table 7 - Full data'!$A$1:$C$145, 3, FALSE)</f>
        <v>[c]</v>
      </c>
      <c r="C44" s="235" t="str">
        <f>VLOOKUP($A44, 'Table 7 - Full data'!$A$1:$C$145, 2, FALSE)</f>
        <v>[c]</v>
      </c>
      <c r="D44" s="45"/>
      <c r="E44" s="45"/>
      <c r="F44" s="45"/>
      <c r="G44" s="45"/>
      <c r="H44" s="45"/>
      <c r="I44" s="45"/>
      <c r="J44" s="45"/>
      <c r="K44" s="45"/>
      <c r="L44" s="24"/>
      <c r="M44" s="24"/>
      <c r="N44" s="24"/>
      <c r="O44" s="24"/>
      <c r="P44" s="24"/>
      <c r="Q44" s="24"/>
      <c r="R44" s="24"/>
      <c r="S44" s="24"/>
      <c r="T44" s="24"/>
      <c r="U44" s="24"/>
      <c r="V44" s="24"/>
      <c r="W44" s="24"/>
      <c r="X44" s="24"/>
      <c r="Y44" s="24"/>
      <c r="Z44" s="24"/>
      <c r="AA44" s="24"/>
    </row>
    <row r="45" spans="1:28" ht="15.5" x14ac:dyDescent="0.35">
      <c r="A45" s="150" t="s">
        <v>241</v>
      </c>
      <c r="B45" s="45"/>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ht="159" customHeight="1" x14ac:dyDescent="0.35">
      <c r="A46" s="155" t="s">
        <v>270</v>
      </c>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1:28" ht="145.5" customHeight="1" x14ac:dyDescent="0.35">
      <c r="A47" s="164" t="s">
        <v>378</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spans="1:28" ht="15.5" x14ac:dyDescent="0.35">
      <c r="A48" s="189" t="s">
        <v>271</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row>
    <row r="49" spans="1:28" ht="15.5" x14ac:dyDescent="0.35">
      <c r="A49" s="150" t="s">
        <v>300</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spans="1:28" ht="16" customHeight="1" x14ac:dyDescent="0.35">
      <c r="A50" s="150" t="s">
        <v>301</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row>
    <row r="51" spans="1:28" ht="15.5" x14ac:dyDescent="0.35">
      <c r="A51" s="191" t="s">
        <v>6</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row>
    <row r="52" spans="1:28" ht="16" customHeight="1" x14ac:dyDescent="0.3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row>
    <row r="53" spans="1:28" ht="16" customHeight="1" x14ac:dyDescent="0.3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spans="1:28" ht="16" customHeight="1" x14ac:dyDescent="0.3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row>
    <row r="55" spans="1:28" ht="16" customHeight="1" x14ac:dyDescent="0.3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row>
    <row r="56" spans="1:28" ht="16" customHeight="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spans="1:28" ht="16" customHeight="1" x14ac:dyDescent="0.3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row>
    <row r="58" spans="1:28" ht="16" customHeight="1" x14ac:dyDescent="0.3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row>
  </sheetData>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'Table 7 - Full data'!$D$2:$D$5</xm:f>
          </x14:formula1>
          <xm:sqref>B7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etadata xmlns="http://www.objective.com/ecm/document/metadata/53D26341A57B383EE0540010E0463CCA" version="1.0.0">
  <systemFields>
    <field name="Objective-Id">
      <value order="0">A30267893</value>
    </field>
    <field name="Objective-Title">
      <value order="0">Best Start Grant Best Start Foods - July 2020 tables_v03 DRAFT</value>
    </field>
    <field name="Objective-Description">
      <value order="0"/>
    </field>
    <field name="Objective-CreationStamp">
      <value order="0">2020-10-02T15:34:17Z</value>
    </field>
    <field name="Objective-IsApproved">
      <value order="0">false</value>
    </field>
    <field name="Objective-IsPublished">
      <value order="0">false</value>
    </field>
    <field name="Objective-DatePublished">
      <value order="0"/>
    </field>
    <field name="Objective-ModificationStamp">
      <value order="0">2020-10-05T17:07:39Z</value>
    </field>
    <field name="Objective-Owner">
      <value order="0">Barrie, Graham G (N413624)</value>
    </field>
    <field name="Objective-Path">
      <value order="0">Objective Global Folder:Classified Object:Classified Object:Barrie, Graham G (N413624):Stats Role - Projects</value>
    </field>
    <field name="Objective-Parent">
      <value order="0">Stats Role - Projects</value>
    </field>
    <field name="Objective-State">
      <value order="0">Being Edited</value>
    </field>
    <field name="Objective-VersionId">
      <value order="0">vA44050201</value>
    </field>
    <field name="Objective-Version">
      <value order="0">0.4</value>
    </field>
    <field name="Objective-VersionNumber">
      <value order="0">4</value>
    </field>
    <field name="Objective-VersionComment">
      <value order="0"/>
    </field>
    <field name="Objective-FileNumber">
      <value order="0"/>
    </field>
    <field name="Objective-Classification">
      <value order="0">OFFICIAL</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2.xml>��< ? x m l   v e r s i o n = " 1 . 0 "   e n c o d i n g = " u t f - 1 6 " ? > < D a t a M a s h u p   x m l n s = " h t t p : / / s c h e m a s . m i c r o s o f t . c o m / D a t a M a s h u p " > A A A A A C k F A A B Q S w M E F A A C A A g A l H o C U 3 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J R 6 A 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e g J T m R k W F B 8 C A A A 9 H w A A E w A c A E Z v c m 1 1 b G F z L 1 N l Y 3 R p b 2 4 x L m 0 g o h g A K K A U A A A A A A A A A A A A A A A A A A A A A A A A A A A A 7 Z Z N a 9 t A E I b v B v + H R S E g g w i V b D c t x Q f j t J R A P q h d c j A + r J V J L L z a F b u r N M b 4 v 1 c f j r 9 W 2 0 j X Z n y R e e f d G a 1 2 R o 8 U h D o S n I z L q / + t 3 W q 3 1 I J K e C Q T O m c Q 9 P p k Q B j o d o t k v 7 F I Z Q i Z 8 v 0 1 B H Y x S q U E r h + E X M 6 F W L q d 9 f S W x j B w 3 t Y 6 s 8 1 0 J L j O T D O v T H H m j B a U P + c F V g k 4 W a 7 C f D G R l K s n I e O R Y G n M 8 6 B y y 3 r e e u 0 M k 4 R F I S 3 u N k / A g T k e 0 Z m L a H j V G 4 8 c e R T 5 B S F E L 1 m Z i J N h I q O d n f L V v 9 0 3 d F X b e 5 1 y a G B m 9 T M P 0 + d U 6 d r 2 M S Q a 4 j n I 2 i v u Q i 2 a + G / F S 7 M C V 9 n / R g u u K U + p r P + I f s B c N l p w Q 2 W 4 O H V P h K Z G c 5 w T 8 U S K C D n K d u j b d N q t i F d 2 9 e E c n e 2 m g b h B x 8 F x w n H C c a o c p 1 1 L X 0 E s d F b j J 9 B H k G r f 1 W V g K 7 s n v d + p H A n / n Z k w q + X z U T p 8 Y y Z K P b D o X Y v e s + h 9 i / 7 Z o l 9 a 9 C 8 W / a t F 9 z / Z A r Y d + 7 Y t + 7 Y 9 + 7 Z N + 8 e 7 P j j 2 4 n w S o d 4 + P k 5 O L o + 4 p 4 e 7 X 3 0 v h a V r t p F 9 2 x i F P D L d m o a M j U P K q F Q D L V O Y V T d V 8 G 5 T G X d T 9 6 1 b O T 9 3 n E X m m / G e J i D J l G d 1 i D 8 z o g v B Y R c t r o F h + s 2 X X P z h W 1 v X i J 8 T s 7 S d e 4 E V f F 0 E H 4 I P w Y f g Q / A h + D 4 S + H o I P g Q f g g / B h + B D 8 H 0 k 8 P U R f A g + B B + C D 8 G H 4 P s v w f c X U E s B A i 0 A F A A C A A g A l H o C U 3 W / N V e o A A A A + A A A A B I A A A A A A A A A A A A A A A A A A A A A A E N v b m Z p Z y 9 Q Y W N r Y W d l L n h t b F B L A Q I t A B Q A A g A I A J R 6 A l M P y u m r p A A A A O k A A A A T A A A A A A A A A A A A A A A A A P Q A A A B b Q 2 9 u d G V u d F 9 U e X B l c 1 0 u e G 1 s U E s B A i 0 A F A A C A A g A l H o C U 5 k Z F h Q f A g A A P R 8 A A B M A A A A A A A A A A A A A A A A A 5 Q E A A E Z v c m 1 1 b G F z L 1 N l Y 3 R p b 2 4 x L m 1 Q S w U G A A A A A A M A A w D C A A A A U 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o A A A A A A A D a S 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N D U 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2 I i A v P j x F b n R y e S B U e X B l P S J G a W x s R X J y b 3 J D b 2 R l I i B W Y W x 1 Z T 0 i c 1 V u a 2 5 v d 2 4 i I C 8 + P E V u d H J 5 I F R 5 c G U 9 I k Z p b G x F c n J v c k N v d W 5 0 I i B W Y W x 1 Z T 0 i b D A i I C 8 + P E V u d H J 5 I F R 5 c G U 9 I k Z p b G x M Y X N 0 V X B k Y X R l Z C I g V m F s d W U 9 I m Q y M D I x L T A 2 L T M w V D E 1 O j Q 4 O j A 2 L j Q z M D c 2 N T l a I i A v P j x F b n R y e S B U e X B l P S J G a W x s Q 2 9 s d W 1 u V H l w Z X M i I F Z h b H V l P S J z Q m d B Q U F B Q U F B Q U F B Q U F B Q U F B Q U E i I C 8 + P E V u d H J 5 I F R 5 c G U 9 I k Z p b G x D b 2 x 1 b W 5 O Y W 1 l c y I g V m F s d W U 9 I n N b J n F 1 b 3 Q 7 Q X B w b G l j Y X R p b 2 4 g Q 2 h h b m 5 l b C Z x d W 9 0 O y w m c X V v d D t B c H B s a W N h d G l v b n M g U m V j Z W l 2 Z W Q g a W 4 g Q X B y a W w m c X V v d D s s J n F 1 b 3 Q 7 Q X B w b G l j Y X R p b 2 5 z I F J l Y 2 V p d m V k I G l u I E 1 h e S Z x d W 9 0 O y w m c X V v d D t B c H B s a W N h d G l v b n M g U m V j Z W l 2 Z W Q g a W 4 g S n V u Z S Z x d W 9 0 O y w m c X V v d D t B c H B s a W N h d G l v b n M g U m V j Z W l 2 Z W Q g a W 4 g S n V s e S Z x d W 9 0 O y w m c X V v d D t B c H B s a W N h d G l v b n M g U m V j Z W l 2 Z W Q g a W 4 g Q X V n d X N 0 J n F 1 b 3 Q 7 L C Z x d W 9 0 O 0 F w c G x p Y 2 F 0 a W 9 u c y B S Z W N l a X Z l Z C B p b i B T Z X B 0 Z W 1 i Z X I m c X V v d D s s J n F 1 b 3 Q 7 Q X B w b G l j Y X R p b 2 5 z I F J l Y 2 V p d m V k I G l u I E 9 j d G 9 i Z X I m c X V v d D s s J n F 1 b 3 Q 7 Q X B w b G l j Y X R p b 2 5 z I F J l Y 2 V p d m V k I G l u I E 5 v d m V t Y m V y J n F 1 b 3 Q 7 L C Z x d W 9 0 O 0 F w c G x p Y 2 F 0 a W 9 u c y B S Z W N l a X Z l Z C B p b i B E Z W N l b W J l c i Z x d W 9 0 O y w m c X V v d D t B c H B s a W N h d G l v b n M g U m V j Z W l 2 Z W Q g a W 4 g S m F u d W F y e S Z x d W 9 0 O y w m c X V v d D t B c H B s a W N h d G l v b n M g U m V j Z W l 2 Z W Q g a W 4 g R m V i c n V h c n k m c X V v d D s s J n F 1 b 3 Q 7 Q X B w b G l j Y X R p b 2 5 z I F J l Y 2 V p d m V k I G l u I E 1 h c m N o J n F 1 b 3 Q 7 L C Z x d W 9 0 O 1 R v d G F s J n F 1 b 3 Q 7 L C Z x d W 9 0 O y U g b 2 Y g V G 9 0 Y W w g Q X B w b G l j Y X R p b 2 5 z I C Z x d W 9 0 O 1 0 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Y W J s Z T I 0 N S 9 D a G F u Z 2 V k I F R 5 c G U u e 0 F w c G x p Y 2 F 0 a W 9 u I E N o Y W 5 u Z W w s M H 0 m c X V v d D s s J n F 1 b 3 Q 7 U 2 V j d G l v b j E v V G F i b G U y N D U v Q 2 h h b m d l Z C B U e X B l L n t B c H B s a W N h d G l v b n M g U m V j Z W l 2 Z W Q g a W 4 g Q X B y a W w s M X 0 m c X V v d D s s J n F 1 b 3 Q 7 U 2 V j d G l v b j E v V G F i b G U y N D U v Q 2 h h b m d l Z C B U e X B l L n t B c H B s a W N h d G l v b n M g U m V j Z W l 2 Z W Q g a W 4 g T W F 5 L D J 9 J n F 1 b 3 Q 7 L C Z x d W 9 0 O 1 N l Y 3 R p b 2 4 x L 1 R h Y m x l M j Q 1 L 0 N o Y W 5 n Z W Q g V H l w Z S 5 7 Q X B w b G l j Y X R p b 2 5 z I F J l Y 2 V p d m V k I G l u I E p 1 b m U s M 3 0 m c X V v d D s s J n F 1 b 3 Q 7 U 2 V j d G l v b j E v V G F i b G U y N D U v Q 2 h h b m d l Z C B U e X B l L n t B c H B s a W N h d G l v b n M g U m V j Z W l 2 Z W Q g a W 4 g S n V s e S w 0 f S Z x d W 9 0 O y w m c X V v d D t T Z W N 0 a W 9 u M S 9 U Y W J s Z T I 0 N S 9 D a G F u Z 2 V k I F R 5 c G U u e 0 F w c G x p Y 2 F 0 a W 9 u c y B S Z W N l a X Z l Z C B p b i B B d W d 1 c 3 Q s N X 0 m c X V v d D s s J n F 1 b 3 Q 7 U 2 V j d G l v b j E v V G F i b G U y N D U v Q 2 h h b m d l Z C B U e X B l L n t B c H B s a W N h d G l v b n M g U m V j Z W l 2 Z W Q g a W 4 g U 2 V w d G V t Y m V y L D Z 9 J n F 1 b 3 Q 7 L C Z x d W 9 0 O 1 N l Y 3 R p b 2 4 x L 1 R h Y m x l M j Q 1 L 0 N o Y W 5 n Z W Q g V H l w Z S 5 7 Q X B w b G l j Y X R p b 2 5 z I F J l Y 2 V p d m V k I G l u I E 9 j d G 9 i Z X I s N 3 0 m c X V v d D s s J n F 1 b 3 Q 7 U 2 V j d G l v b j E v V G F i b G U y N D U v Q 2 h h b m d l Z C B U e X B l L n t B c H B s a W N h d G l v b n M g U m V j Z W l 2 Z W Q g a W 4 g T m 9 2 Z W 1 i Z X I s O H 0 m c X V v d D s s J n F 1 b 3 Q 7 U 2 V j d G l v b j E v V G F i b G U y N D U v Q 2 h h b m d l Z C B U e X B l L n t B c H B s a W N h d G l v b n M g U m V j Z W l 2 Z W Q g a W 4 g R G V j Z W 1 i Z X I s O X 0 m c X V v d D s s J n F 1 b 3 Q 7 U 2 V j d G l v b j E v V G F i b G U y N D U v Q 2 h h b m d l Z C B U e X B l L n t B c H B s a W N h d G l v b n M g U m V j Z W l 2 Z W Q g a W 4 g S m F u d W F y e S w x M H 0 m c X V v d D s s J n F 1 b 3 Q 7 U 2 V j d G l v b j E v V G F i b G U y N D U v Q 2 h h b m d l Z C B U e X B l L n t B c H B s a W N h d G l v b n M g U m V j Z W l 2 Z W Q g a W 4 g R m V i c n V h c n k s M T F 9 J n F 1 b 3 Q 7 L C Z x d W 9 0 O 1 N l Y 3 R p b 2 4 x L 1 R h Y m x l M j Q 1 L 0 N o Y W 5 n Z W Q g V H l w Z S 5 7 Q X B w b G l j Y X R p b 2 5 z I F J l Y 2 V p d m V k I G l u I E 1 h c m N o L D E y f S Z x d W 9 0 O y w m c X V v d D t T Z W N 0 a W 9 u M S 9 U Y W J s Z T I 0 N S 9 D a G F u Z 2 V k I F R 5 c G U u e 1 R v d G F s L D E z f S Z x d W 9 0 O y w m c X V v d D t T Z W N 0 a W 9 u M S 9 U Y W J s Z T I 0 N S 9 D a G F u Z 2 V k I F R 5 c G U u e y U g b 2 Y g V G 9 0 Y W w g Q X B w b G l j Y X R p b 2 5 z I C w x N H 0 m c X V v d D t d L C Z x d W 9 0 O 0 N v b H V t b k N v d W 5 0 J n F 1 b 3 Q 7 O j E 1 L C Z x d W 9 0 O 0 t l e U N v b H V t b k 5 h b W V z J n F 1 b 3 Q 7 O l t d L C Z x d W 9 0 O 0 N v b H V t b k l k Z W 5 0 a X R p Z X M m c X V v d D s 6 W y Z x d W 9 0 O 1 N l Y 3 R p b 2 4 x L 1 R h Y m x l M j Q 1 L 0 N o Y W 5 n Z W Q g V H l w Z S 5 7 Q X B w b G l j Y X R p b 2 4 g Q 2 h h b m 5 l b C w w f S Z x d W 9 0 O y w m c X V v d D t T Z W N 0 a W 9 u M S 9 U Y W J s Z T I 0 N S 9 D a G F u Z 2 V k I F R 5 c G U u e 0 F w c G x p Y 2 F 0 a W 9 u c y B S Z W N l a X Z l Z C B p b i B B c H J p b C w x f S Z x d W 9 0 O y w m c X V v d D t T Z W N 0 a W 9 u M S 9 U Y W J s Z T I 0 N S 9 D a G F u Z 2 V k I F R 5 c G U u e 0 F w c G x p Y 2 F 0 a W 9 u c y B S Z W N l a X Z l Z C B p b i B N Y X k s M n 0 m c X V v d D s s J n F 1 b 3 Q 7 U 2 V j d G l v b j E v V G F i b G U y N D U v Q 2 h h b m d l Z C B U e X B l L n t B c H B s a W N h d G l v b n M g U m V j Z W l 2 Z W Q g a W 4 g S n V u Z S w z f S Z x d W 9 0 O y w m c X V v d D t T Z W N 0 a W 9 u M S 9 U Y W J s Z T I 0 N S 9 D a G F u Z 2 V k I F R 5 c G U u e 0 F w c G x p Y 2 F 0 a W 9 u c y B S Z W N l a X Z l Z C B p b i B K d W x 5 L D R 9 J n F 1 b 3 Q 7 L C Z x d W 9 0 O 1 N l Y 3 R p b 2 4 x L 1 R h Y m x l M j Q 1 L 0 N o Y W 5 n Z W Q g V H l w Z S 5 7 Q X B w b G l j Y X R p b 2 5 z I F J l Y 2 V p d m V k I G l u I E F 1 Z 3 V z d C w 1 f S Z x d W 9 0 O y w m c X V v d D t T Z W N 0 a W 9 u M S 9 U Y W J s Z T I 0 N S 9 D a G F u Z 2 V k I F R 5 c G U u e 0 F w c G x p Y 2 F 0 a W 9 u c y B S Z W N l a X Z l Z C B p b i B T Z X B 0 Z W 1 i Z X I s N n 0 m c X V v d D s s J n F 1 b 3 Q 7 U 2 V j d G l v b j E v V G F i b G U y N D U v Q 2 h h b m d l Z C B U e X B l L n t B c H B s a W N h d G l v b n M g U m V j Z W l 2 Z W Q g a W 4 g T 2 N 0 b 2 J l c i w 3 f S Z x d W 9 0 O y w m c X V v d D t T Z W N 0 a W 9 u M S 9 U Y W J s Z T I 0 N S 9 D a G F u Z 2 V k I F R 5 c G U u e 0 F w c G x p Y 2 F 0 a W 9 u c y B S Z W N l a X Z l Z C B p b i B O b 3 Z l b W J l c i w 4 f S Z x d W 9 0 O y w m c X V v d D t T Z W N 0 a W 9 u M S 9 U Y W J s Z T I 0 N S 9 D a G F u Z 2 V k I F R 5 c G U u e 0 F w c G x p Y 2 F 0 a W 9 u c y B S Z W N l a X Z l Z C B p b i B E Z W N l b W J l c i w 5 f S Z x d W 9 0 O y w m c X V v d D t T Z W N 0 a W 9 u M S 9 U Y W J s Z T I 0 N S 9 D a G F u Z 2 V k I F R 5 c G U u e 0 F w c G x p Y 2 F 0 a W 9 u c y B S Z W N l a X Z l Z C B p b i B K Y W 5 1 Y X J 5 L D E w f S Z x d W 9 0 O y w m c X V v d D t T Z W N 0 a W 9 u M S 9 U Y W J s Z T I 0 N S 9 D a G F u Z 2 V k I F R 5 c G U u e 0 F w c G x p Y 2 F 0 a W 9 u c y B S Z W N l a X Z l Z C B p b i B G Z W J y d W F y e S w x M X 0 m c X V v d D s s J n F 1 b 3 Q 7 U 2 V j d G l v b j E v V G F i b G U y N D U v Q 2 h h b m d l Z C B U e X B l L n t B c H B s a W N h d G l v b n M g U m V j Z W l 2 Z W Q g a W 4 g T W F y Y 2 g s M T J 9 J n F 1 b 3 Q 7 L C Z x d W 9 0 O 1 N l Y 3 R p b 2 4 x L 1 R h Y m x l M j Q 1 L 0 N o Y W 5 n Z W Q g V H l w Z S 5 7 V G 9 0 Y W w s M T N 9 J n F 1 b 3 Q 7 L C Z x d W 9 0 O 1 N l Y 3 R p b 2 4 x L 1 R h Y m x l M j Q 1 L 0 N o Y W 5 n Z W Q g V H l w Z S 5 7 J S B v Z i B U b 3 R h b C B B c H B s a W N h d G l v b n M g L D E 0 f S Z x d W 9 0 O 1 0 s J n F 1 b 3 Q 7 U m V s Y X R p b 2 5 z a G l w S W 5 m b y Z x d W 9 0 O z p b X X 0 i I C 8 + P C 9 T d G F i b G V F b n R y a W V z P j w v S X R l b T 4 8 S X R l b T 4 8 S X R l b U x v Y 2 F 0 a W 9 u P j x J d G V t V H l w Z T 5 G b 3 J t d W x h P C 9 J d G V t V H l w Z T 4 8 S X R l b V B h d G g + U 2 V j d G l v b j E v V G F i b G U y N D U v U 2 9 1 c m N l P C 9 J d G V t U G F 0 a D 4 8 L 0 l 0 Z W 1 M b 2 N h d G l v b j 4 8 U 3 R h Y m x l R W 5 0 c m l l c y A v P j w v S X R l b T 4 8 S X R l b T 4 8 S X R l b U x v Y 2 F 0 a W 9 u P j x J d G V t V H l w Z T 5 G b 3 J t d W x h P C 9 J d G V t V H l w Z T 4 8 S X R l b V B h d G g + U 2 V j d G l v b j E v V G F i b G U y N D U v Q 2 h h b m d l Z C U y M F R 5 c G U 8 L 0 l 0 Z W 1 Q Y X R o P j w v S X R l b U x v Y 2 F 0 a W 9 u P j x T d G F i b G V F b n R y a W V z I C 8 + P C 9 J d G V t P j x J d G V t P j x J d G V t T G 9 j Y X R p b 2 4 + P E l 0 Z W 1 U e X B l P k Z v c m 1 1 b G E 8 L 0 l 0 Z W 1 U e X B l P j x J d G V t U G F 0 a D 5 T Z W N 0 a W 9 u M S 9 U Y W J s Z T I 0 N S U y M C g y K T w v S X R l b V B h d G g + P C 9 J d G V t T G 9 j Y X R p b 2 4 + P F N 0 Y W J s Z U V u d H J p Z X M + P E V u d H J 5 I F R 5 c G U 9 I k l z U H J p d m F 0 Z S I g V m F s d W U 9 I m w w I i A v P j x F b n R y e S B U e X B l P S J O Y X Z p Z 2 F 0 a W 9 u U 3 R l c E 5 h b W U i I F Z h b H V l P S J z T m F 2 a W d h d G l v b i I g L z 4 8 R W 5 0 c n k g V H l w Z T 0 i Q n V m Z m V y T m V 4 d F J l Z n J l c 2 g i I F Z h b H V l P S J s M S I g L z 4 8 R W 5 0 c n k g V H l w Z T 0 i U m V z d W x 0 V H l w Z S I g V m F s d W U 9 I n N F e G N l c H R p b 2 4 i I C 8 + P E V u d H J 5 I F R 5 c G U 9 I k 5 h b W V V c G R h d G V k Q W Z 0 Z X J G a W x s I i B W Y W x 1 Z T 0 i b D A 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j b 3 Z l c n l U Y X J n Z X R T a G V l d C I g V m F s d W U 9 I n N T a G V l d D M i I C 8 + P E V u d H J 5 I F R 5 c G U 9 I l J l Y 2 9 2 Z X J 5 V G F y Z 2 V 0 Q 2 9 s d W 1 u I i B W Y W x 1 Z T 0 i b D E i I C 8 + P E V u d H J 5 I F R 5 c G U 9 I l J l Y 2 9 2 Z X J 5 V G F y Z 2 V 0 U m 9 3 I i B W Y W x 1 Z T 0 i b D E i I C 8 + P E V u d H J 5 I F R 5 c G U 9 I k F k Z G V k V G 9 E Y X R h T W 9 k Z W w i I F Z h b H V l P S J s M C I g L z 4 8 R W 5 0 c n k g V H l w Z T 0 i R m l s b E N v d W 5 0 I i B W Y W x 1 Z T 0 i b D E 0 I i A v P j x F b n R y e S B U e X B l P S J G a W x s R X J y b 3 J D b 2 R l I i B W Y W x 1 Z T 0 i c 1 V u a 2 5 v d 2 4 i I C 8 + P E V u d H J 5 I F R 5 c G U 9 I k Z p b G x F c n J v c k N v d W 5 0 I i B W Y W x 1 Z T 0 i b D A i I C 8 + P E V u d H J 5 I F R 5 c G U 9 I k Z p b G x M Y X N 0 V X B k Y X R l Z C I g V m F s d W U 9 I m Q y M D I x L T A 2 L T M w V D E 1 O j U w O j U w L j c 2 M T U 3 M z R a I i A v P j x F b n R y e S B U e X B l P S J G a W x s Q 2 9 s d W 1 u V H l w Z X M i I F Z h b H V l P S J z Q m d B Q U F B Q U F B Q T 0 9 I i A v P j x F b n R y e S B U e X B l P S J G a W x s Q 2 9 s d W 1 u T m F t Z X M i I F Z h b H V l P S J z W y Z x d W 9 0 O 0 F w c G x p Y 2 F 0 a W 9 u I E N o Y W 5 u Z W w m c X V v d D s s J n F 1 b 3 Q 7 V G 9 0 Y W w m c X V v d D s s J n F 1 b 3 Q 7 T 2 5 s a W 5 l J n F 1 b 3 Q 7 L C Z x d W 9 0 O 1 B h c G V y I F t u b 3 R l I D F d J n F 1 b 3 Q 7 L C Z x d W 9 0 O 1 B o b 2 5 l I F t u b 3 R l I D F d W 2 5 v d G U y X S Z x d W 9 0 O y w m c X V v d D t V b m t u b 3 d u I F t u b 3 R l I D N d J n F 1 b 3 Q 7 L C Z x d W 9 0 O y U g T 2 5 s a W 5 l 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V G F i b G U y N D U g K D I p L 0 N o Y W 5 n Z W Q g V H l w Z T I u e 0 F w c G x p Y 2 F 0 a W 9 u I E N o Y W 5 u Z W w s M H 0 m c X V v d D s s J n F 1 b 3 Q 7 U 2 V j d G l v b j E v V G F i b G U y N D U g K D I p L 0 N o Y W 5 n Z W Q g V H l w Z T I u e 1 R v d G F s L D F 9 J n F 1 b 3 Q 7 L C Z x d W 9 0 O 1 N l Y 3 R p b 2 4 x L 1 R h Y m x l M j Q 1 I C g y K S 9 D a G F u Z 2 V k I F R 5 c G U y L n t P b m x p b m U s M n 0 m c X V v d D s s J n F 1 b 3 Q 7 U 2 V j d G l v b j E v V G F i b G U y N D U g K D I p L 0 N o Y W 5 n Z W Q g V H l w Z T I u e 1 B h c G V y I F t u b 3 R l I D F d L D N 9 J n F 1 b 3 Q 7 L C Z x d W 9 0 O 1 N l Y 3 R p b 2 4 x L 1 R h Y m x l M j Q 1 I C g y K S 9 D a G F u Z 2 V k I F R 5 c G U y L n t Q a G 9 u Z S B b b m 9 0 Z S A x X V t u b 3 R l M l 0 s N H 0 m c X V v d D s s J n F 1 b 3 Q 7 U 2 V j d G l v b j E v V G F i b G U y N D U g K D I p L 0 N o Y W 5 n Z W Q g V H l w Z T I u e 1 V u a 2 5 v d 2 4 g W 2 5 v d G U g M 1 0 s N X 0 m c X V v d D s s J n F 1 b 3 Q 7 U 2 V j d G l v b j E v V G F i b G U y N D U g K D I p L 0 N o Y W 5 n Z W Q g V H l w Z T I u e y U g T 2 5 s a W 5 l L D Z 9 J n F 1 b 3 Q 7 X S w m c X V v d D t D b 2 x 1 b W 5 D b 3 V u d C Z x d W 9 0 O z o 3 L C Z x d W 9 0 O 0 t l e U N v b H V t b k 5 h b W V z J n F 1 b 3 Q 7 O l t d L C Z x d W 9 0 O 0 N v b H V t b k l k Z W 5 0 a X R p Z X M m c X V v d D s 6 W y Z x d W 9 0 O 1 N l Y 3 R p b 2 4 x L 1 R h Y m x l M j Q 1 I C g y K S 9 D a G F u Z 2 V k I F R 5 c G U y L n t B c H B s a W N h d G l v b i B D a G F u b m V s L D B 9 J n F 1 b 3 Q 7 L C Z x d W 9 0 O 1 N l Y 3 R p b 2 4 x L 1 R h Y m x l M j Q 1 I C g y K S 9 D a G F u Z 2 V k I F R 5 c G U y L n t U b 3 R h b C w x f S Z x d W 9 0 O y w m c X V v d D t T Z W N 0 a W 9 u M S 9 U Y W J s Z T I 0 N S A o M i k v Q 2 h h b m d l Z C B U e X B l M i 5 7 T 2 5 s a W 5 l L D J 9 J n F 1 b 3 Q 7 L C Z x d W 9 0 O 1 N l Y 3 R p b 2 4 x L 1 R h Y m x l M j Q 1 I C g y K S 9 D a G F u Z 2 V k I F R 5 c G U y L n t Q Y X B l c i B b b m 9 0 Z S A x X S w z f S Z x d W 9 0 O y w m c X V v d D t T Z W N 0 a W 9 u M S 9 U Y W J s Z T I 0 N S A o M i k v Q 2 h h b m d l Z C B U e X B l M i 5 7 U G h v b m U g W 2 5 v d G U g M V 1 b b m 9 0 Z T J d L D R 9 J n F 1 b 3 Q 7 L C Z x d W 9 0 O 1 N l Y 3 R p b 2 4 x L 1 R h Y m x l M j Q 1 I C g y K S 9 D a G F u Z 2 V k I F R 5 c G U y L n t V b m t u b 3 d u I F t u b 3 R l I D N d L D V 9 J n F 1 b 3 Q 7 L C Z x d W 9 0 O 1 N l Y 3 R p b 2 4 x L 1 R h Y m x l M j Q 1 I C g y K S 9 D a G F u Z 2 V k I F R 5 c G U y L n s l I E 9 u b G l u Z S w 2 f S Z x d W 9 0 O 1 0 s J n F 1 b 3 Q 7 U m V s Y X R p b 2 5 z a G l w S W 5 m b y Z x d W 9 0 O z p b X X 0 i I C 8 + P C 9 T d G F i b G V F b n R y a W V z P j w v S X R l b T 4 8 S X R l b T 4 8 S X R l b U x v Y 2 F 0 a W 9 u P j x J d G V t V H l w Z T 5 G b 3 J t d W x h P C 9 J d G V t V H l w Z T 4 8 S X R l b V B h d G g + U 2 V j d G l v b j E v V G F i b G U y N D U l M j A o M i k v U 2 9 1 c m N l P C 9 J d G V t U G F 0 a D 4 8 L 0 l 0 Z W 1 M b 2 N h d G l v b j 4 8 U 3 R h Y m x l R W 5 0 c m l l c y A v P j w v S X R l b T 4 8 S X R l b T 4 8 S X R l b U x v Y 2 F 0 a W 9 u P j x J d G V t V H l w Z T 5 G b 3 J t d W x h P C 9 J d G V t V H l w Z T 4 8 S X R l b V B h d G g + U 2 V j d G l v b j E v V G F i b G U y N D U l M j A o M i k v Q 2 h h b m d l Z C U y M F R 5 c G U 8 L 0 l 0 Z W 1 Q Y X R o P j w v S X R l b U x v Y 2 F 0 a W 9 u P j x T d G F i b G V F b n R y a W V z I C 8 + P C 9 J d G V t P j x J d G V t P j x J d G V t T G 9 j Y X R p b 2 4 + P E l 0 Z W 1 U e X B l P k Z v c m 1 1 b G E 8 L 0 l 0 Z W 1 U e X B l P j x J d G V t U G F 0 a D 5 T Z W N 0 a W 9 u M S 9 U Y W J s Z T I 0 N S U y M C g y K S 9 E Z W 1 v d G V k J T I w S G V h Z G V y c z w v S X R l b V B h d G g + P C 9 J d G V t T G 9 j Y X R p b 2 4 + P F N 0 Y W J s Z U V u d H J p Z X M g L z 4 8 L 0 l 0 Z W 0 + P E l 0 Z W 0 + P E l 0 Z W 1 M b 2 N h d G l v b j 4 8 S X R l b V R 5 c G U + R m 9 y b X V s Y T w v S X R l b V R 5 c G U + P E l 0 Z W 1 Q Y X R o P l N l Y 3 R p b 2 4 x L 1 R h Y m x l M j Q 1 J T I w K D I p L 0 N o Y W 5 n Z W Q l M j B U e X B l M T w v S X R l b V B h d G g + P C 9 J d G V t T G 9 j Y X R p b 2 4 + P F N 0 Y W J s Z U V u d H J p Z X M g L z 4 8 L 0 l 0 Z W 0 + P E l 0 Z W 0 + P E l 0 Z W 1 M b 2 N h d G l v b j 4 8 S X R l b V R 5 c G U + R m 9 y b X V s Y T w v S X R l b V R 5 c G U + P E l 0 Z W 1 Q Y X R o P l N l Y 3 R p b 2 4 x L 1 R h Y m x l M j Q 1 J T I w K D I p L 1 R y Y W 5 z c G 9 z Z W Q l M j B U Y W J s Z T w v S X R l b V B h d G g + P C 9 J d G V t T G 9 j Y X R p b 2 4 + P F N 0 Y W J s Z U V u d H J p Z X M g L z 4 8 L 0 l 0 Z W 0 + P E l 0 Z W 0 + P E l 0 Z W 1 M b 2 N h d G l v b j 4 8 S X R l b V R 5 c G U + R m 9 y b X V s Y T w v S X R l b V R 5 c G U + P E l 0 Z W 1 Q Y X R o P l N l Y 3 R p b 2 4 x L 1 R h Y m x l M j Q 1 J T I w K D I p L 1 B y b 2 1 v d G V k J T I w S G V h Z G V y c z w v S X R l b V B h d G g + P C 9 J d G V t T G 9 j Y X R p b 2 4 + P F N 0 Y W J s Z U V u d H J p Z X M g L z 4 8 L 0 l 0 Z W 0 + P E l 0 Z W 0 + P E l 0 Z W 1 M b 2 N h d G l v b j 4 8 S X R l b V R 5 c G U + R m 9 y b X V s Y T w v S X R l b V R 5 c G U + P E l 0 Z W 1 Q Y X R o P l N l Y 3 R p b 2 4 x L 1 R h Y m x l M j Q 1 J T I w K D I p L 0 N o Y W 5 n Z W Q l M j B U e X B l M j w v S X R l b V B h d G g + P C 9 J d G V t T G 9 j Y X R p b 2 4 + P F N 0 Y W J s Z U V u d H J p Z X M g L z 4 8 L 0 l 0 Z W 0 + P E l 0 Z W 0 + P E l 0 Z W 1 M b 2 N h d G l v b j 4 8 S X R l b V R 5 c G U + R m 9 y b X V s Y T w v S X R l b V R 5 c G U + P E l 0 Z W 1 Q Y X R o P l N l Y 3 R p b 2 4 x L 1 R h Y m x l M j Q 1 J T I w K D M p 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m 9 3 I i B W Y W x 1 Z T 0 i b D E i I C 8 + P E V u d H J 5 I F R 5 c G U 9 I l J l Y 2 9 2 Z X J 5 V G F y Z 2 V 0 Q 2 9 s d W 1 u I i B W Y W x 1 Z T 0 i b D E i I C 8 + P E V u d H J 5 I F R 5 c G U 9 I l J l Y 2 9 2 Z X J 5 V G F y Z 2 V 0 U 2 h l Z X Q i I F Z h b H V l P S J z U 2 h l Z X Q z I i A v P j x F b n R y e S B U e X B l P S J G a W x s U 3 R h d H V z I i B W Y W x 1 Z T 0 i c 0 N v b X B s Z X R l I i A v P j x F b n R y e S B U e X B l P S J G a W x s Q 2 9 s d W 1 u V H l w Z X M i I F Z h b H V l P S J z Q m d B Q U F B Q U F B Q T 0 9 I i A v P j x F b n R y e S B U e X B l P S J G a W x s T G F z d F V w Z G F 0 Z W Q i I F Z h b H V l P S J k M j A y M S 0 w N i 0 z M F Q x N T o 1 M D o 1 M C 4 3 N j E 1 N z M 0 W i I g L z 4 8 R W 5 0 c n k g V H l w Z T 0 i R m l s b E N v d W 5 0 I i B W Y W x 1 Z T 0 i b D E 0 I i A v P j x F b n R y e S B U e X B l P S J B Z G R l Z F R v R G F 0 Y U 1 v Z G V s I i B W Y W x 1 Z T 0 i b D A i I C 8 + P E V u d H J 5 I F R 5 c G U 9 I l J l b G F 0 a W 9 u c 2 h p c E l u Z m 9 D b 2 5 0 Y W l u Z X I i I F Z h b H V l P S J z e y Z x d W 9 0 O 2 N v b H V t b k N v d W 5 0 J n F 1 b 3 Q 7 O j c s J n F 1 b 3 Q 7 a 2 V 5 Q 2 9 s d W 1 u T m F t Z X M m c X V v d D s 6 W 1 0 s J n F 1 b 3 Q 7 c X V l c n l S Z W x h d G l v b n N o a X B z J n F 1 b 3 Q 7 O l t d L C Z x d W 9 0 O 2 N v b H V t b k l k Z W 5 0 a X R p Z X M m c X V v d D s 6 W y Z x d W 9 0 O 1 N l Y 3 R p b 2 4 x L 1 R h Y m x l M j Q 1 I C g y K S 9 D a G F u Z 2 V k I F R 5 c G U y L n t B c H B s a W N h d G l v b i B D a G F u b m V s L D B 9 J n F 1 b 3 Q 7 L C Z x d W 9 0 O 1 N l Y 3 R p b 2 4 x L 1 R h Y m x l M j Q 1 I C g y K S 9 D a G F u Z 2 V k I F R 5 c G U y L n t U b 3 R h b C w x f S Z x d W 9 0 O y w m c X V v d D t T Z W N 0 a W 9 u M S 9 U Y W J s Z T I 0 N S A o M i k v Q 2 h h b m d l Z C B U e X B l M i 5 7 T 2 5 s a W 5 l L D J 9 J n F 1 b 3 Q 7 L C Z x d W 9 0 O 1 N l Y 3 R p b 2 4 x L 1 R h Y m x l M j Q 1 I C g y K S 9 D a G F u Z 2 V k I F R 5 c G U y L n t Q Y X B l c i B b b m 9 0 Z S A x X S w z f S Z x d W 9 0 O y w m c X V v d D t T Z W N 0 a W 9 u M S 9 U Y W J s Z T I 0 N S A o M i k v Q 2 h h b m d l Z C B U e X B l M i 5 7 U G h v b m U g W 2 5 v d G U g M V 1 b b m 9 0 Z T J d L D R 9 J n F 1 b 3 Q 7 L C Z x d W 9 0 O 1 N l Y 3 R p b 2 4 x L 1 R h Y m x l M j Q 1 I C g y K S 9 D a G F u Z 2 V k I F R 5 c G U y L n t V b m t u b 3 d u I F t u b 3 R l I D N d L D V 9 J n F 1 b 3 Q 7 L C Z x d W 9 0 O 1 N l Y 3 R p b 2 4 x L 1 R h Y m x l M j Q 1 I C g y K S 9 D a G F u Z 2 V k I F R 5 c G U y L n s l I E 9 u b G l u Z S w 2 f S Z x d W 9 0 O 1 0 s J n F 1 b 3 Q 7 Q 2 9 s d W 1 u Q 2 9 1 b n Q m c X V v d D s 6 N y w m c X V v d D t L Z X l D b 2 x 1 b W 5 O Y W 1 l c y Z x d W 9 0 O z p b X S w m c X V v d D t D b 2 x 1 b W 5 J Z G V u d G l 0 a W V z J n F 1 b 3 Q 7 O l s m c X V v d D t T Z W N 0 a W 9 u M S 9 U Y W J s Z T I 0 N S A o M i k v Q 2 h h b m d l Z C B U e X B l M i 5 7 Q X B w b G l j Y X R p b 2 4 g Q 2 h h b m 5 l b C w w f S Z x d W 9 0 O y w m c X V v d D t T Z W N 0 a W 9 u M S 9 U Y W J s Z T I 0 N S A o M i k v Q 2 h h b m d l Z C B U e X B l M i 5 7 V G 9 0 Y W w s M X 0 m c X V v d D s s J n F 1 b 3 Q 7 U 2 V j d G l v b j E v V G F i b G U y N D U g K D I p L 0 N o Y W 5 n Z W Q g V H l w Z T I u e 0 9 u b G l u Z S w y f S Z x d W 9 0 O y w m c X V v d D t T Z W N 0 a W 9 u M S 9 U Y W J s Z T I 0 N S A o M i k v Q 2 h h b m d l Z C B U e X B l M i 5 7 U G F w Z X I g W 2 5 v d G U g M V 0 s M 3 0 m c X V v d D s s J n F 1 b 3 Q 7 U 2 V j d G l v b j E v V G F i b G U y N D U g K D I p L 0 N o Y W 5 n Z W Q g V H l w Z T I u e 1 B o b 2 5 l I F t u b 3 R l I D F d W 2 5 v d G U y X S w 0 f S Z x d W 9 0 O y w m c X V v d D t T Z W N 0 a W 9 u M S 9 U Y W J s Z T I 0 N S A o M i k v Q 2 h h b m d l Z C B U e X B l M i 5 7 V W 5 r b m 9 3 b i B b b m 9 0 Z S A z X S w 1 f S Z x d W 9 0 O y w m c X V v d D t T Z W N 0 a W 9 u M S 9 U Y W J s Z T I 0 N S A o M i k v Q 2 h h b m d l Z C B U e X B l M i 5 7 J S B P b m x p b m U s N n 0 m c X V v d D t d L C Z x d W 9 0 O 1 J l b G F 0 a W 9 u c 2 h p c E l u Z m 8 m c X V v d D s 6 W 1 1 9 I i A v P j x F b n R y e S B U e X B l P S J G a W x s R X J y b 3 J D b 3 V u d C I g V m F s d W U 9 I m w w I i A v P j x F b n R y e S B U e X B l P S J M b 2 F k Z W R U b 0 F u Y W x 5 c 2 l z U 2 V y d m l j Z X M i I F Z h b H V l P S J s M C I g L z 4 8 R W 5 0 c n k g V H l w Z T 0 i U m V z d W x 0 V H l w Z S I g V m F s d W U 9 I n N F e G N l c H R p b 2 4 i I C 8 + P E V u d H J 5 I F R 5 c G U 9 I k Z p b G x D b 2 x 1 b W 5 O Y W 1 l c y I g V m F s d W U 9 I n N b J n F 1 b 3 Q 7 Q X B w b G l j Y X R p b 2 4 g Q 2 h h b m 5 l b C Z x d W 9 0 O y w m c X V v d D t U b 3 R h b C Z x d W 9 0 O y w m c X V v d D t P b m x p b m U m c X V v d D s s J n F 1 b 3 Q 7 U G F w Z X I g W 2 5 v d G U g M V 0 m c X V v d D s s J n F 1 b 3 Q 7 U G h v b m U g W 2 5 v d G U g M V 1 b b m 9 0 Z T J d J n F 1 b 3 Q 7 L C Z x d W 9 0 O 1 V u a 2 5 v d 2 4 g W 2 5 v d G U g M 1 0 m c X V v d D s s J n F 1 b 3 Q 7 J S B P b m x p b m U m c X V v d D t d I i A v P j x F b n R y e S B U e X B l P S J G a W x s R X J y b 3 J D b 2 R l I i B W Y W x 1 Z T 0 i c 1 V u a 2 5 v d 2 4 i I C 8 + P E V u d H J 5 I F R 5 c G U 9 I k J 1 Z m Z l c k 5 l e H R S Z W Z y Z X N o I i B W Y W x 1 Z T 0 i b D E i I C 8 + P C 9 T d G F i b G V F b n R y a W V z P j w v S X R l b T 4 8 S X R l b T 4 8 S X R l b U x v Y 2 F 0 a W 9 u P j x J d G V t V H l w Z T 5 G b 3 J t d W x h P C 9 J d G V t V H l w Z T 4 8 S X R l b V B h d G g + U 2 V j d G l v b j E v V G F i b G U y N D U l M j A o M y k v U 2 9 1 c m N l P C 9 J d G V t U G F 0 a D 4 8 L 0 l 0 Z W 1 M b 2 N h d G l v b j 4 8 U 3 R h Y m x l R W 5 0 c m l l c y A v P j w v S X R l b T 4 8 S X R l b T 4 8 S X R l b U x v Y 2 F 0 a W 9 u P j x J d G V t V H l w Z T 5 G b 3 J t d W x h P C 9 J d G V t V H l w Z T 4 8 S X R l b V B h d G g + U 2 V j d G l v b j E v V G F i b G U y N D U l M j A o M y k v Q 2 h h b m d l Z C U y M F R 5 c G U 8 L 0 l 0 Z W 1 Q Y X R o P j w v S X R l b U x v Y 2 F 0 a W 9 u P j x T d G F i b G V F b n R y a W V z I C 8 + P C 9 J d G V t P j x J d G V t P j x J d G V t T G 9 j Y X R p b 2 4 + P E l 0 Z W 1 U e X B l P k Z v c m 1 1 b G E 8 L 0 l 0 Z W 1 U e X B l P j x J d G V t U G F 0 a D 5 T Z W N 0 a W 9 u M S 9 U Y W J s Z T I 0 N S U y M C g z K S 9 E Z W 1 v d G V k J T I w S G V h Z G V y c z w v S X R l b V B h d G g + P C 9 J d G V t T G 9 j Y X R p b 2 4 + P F N 0 Y W J s Z U V u d H J p Z X M g L z 4 8 L 0 l 0 Z W 0 + P E l 0 Z W 0 + P E l 0 Z W 1 M b 2 N h d G l v b j 4 8 S X R l b V R 5 c G U + R m 9 y b X V s Y T w v S X R l b V R 5 c G U + P E l 0 Z W 1 Q Y X R o P l N l Y 3 R p b 2 4 x L 1 R h Y m x l M j Q 1 J T I w K D M p L 0 N o Y W 5 n Z W Q l M j B U e X B l M T w v S X R l b V B h d G g + P C 9 J d G V t T G 9 j Y X R p b 2 4 + P F N 0 Y W J s Z U V u d H J p Z X M g L z 4 8 L 0 l 0 Z W 0 + P E l 0 Z W 0 + P E l 0 Z W 1 M b 2 N h d G l v b j 4 8 S X R l b V R 5 c G U + R m 9 y b X V s Y T w v S X R l b V R 5 c G U + P E l 0 Z W 1 Q Y X R o P l N l Y 3 R p b 2 4 x L 1 R h Y m x l M j Q 1 J T I w K D M p L 1 R y Y W 5 z c G 9 z Z W Q l M j B U Y W J s Z T w v S X R l b V B h d G g + P C 9 J d G V t T G 9 j Y X R p b 2 4 + P F N 0 Y W J s Z U V u d H J p Z X M g L z 4 8 L 0 l 0 Z W 0 + P E l 0 Z W 0 + P E l 0 Z W 1 M b 2 N h d G l v b j 4 8 S X R l b V R 5 c G U + R m 9 y b X V s Y T w v S X R l b V R 5 c G U + P E l 0 Z W 1 Q Y X R o P l N l Y 3 R p b 2 4 x L 1 R h Y m x l M j Q 1 J T I w K D M p L 1 B y b 2 1 v d G V k J T I w S G V h Z G V y c z w v S X R l b V B h d G g + P C 9 J d G V t T G 9 j Y X R p b 2 4 + P F N 0 Y W J s Z U V u d H J p Z X M g L z 4 8 L 0 l 0 Z W 0 + P E l 0 Z W 0 + P E l 0 Z W 1 M b 2 N h d G l v b j 4 8 S X R l b V R 5 c G U + R m 9 y b X V s Y T w v S X R l b V R 5 c G U + P E l 0 Z W 1 Q Y X R o P l N l Y 3 R p b 2 4 x L 1 R h Y m x l M j Q 1 J T I w K D M p L 0 N o Y W 5 n Z W Q l M j B U e X B l M j w v S X R l b V B h d G g + P C 9 J d G V t T G 9 j Y X R p b 2 4 + P F N 0 Y W J s Z U V u d H J p Z X M g L z 4 8 L 0 l 0 Z W 0 + P E l 0 Z W 0 + P E l 0 Z W 1 M b 2 N h d G l v b j 4 8 S X R l b V R 5 c G U + R m 9 y b X V s Y T w v S X R l b V R 5 c G U + P E l 0 Z W 1 Q Y X R o P l N l Y 3 R p b 2 4 x L 1 R h Y m x l M j Q 1 J T I w K D Q p P C 9 J d G V t U G F 0 a D 4 8 L 0 l 0 Z W 1 M b 2 N h d G l v b j 4 8 U 3 R h Y m x l R W 5 0 c m l l c z 4 8 R W 5 0 c n k g V H l w Z T 0 i S X N Q c m l 2 Y X R l I i B W Y W x 1 Z T 0 i b D A i I C 8 + P E V u d H J 5 I F R 5 c G U 9 I k 5 h d m l n Y X R p b 2 5 T d G V w T m F t Z S I g V m F s d W U 9 I n N O Y X Z p Z 2 F 0 a W 9 u I i A v P j x F b n R y e S B U e X B l P S J C d W Z m Z X J O Z X h 0 U m V m c m V z a C I g V m F s d W U 9 I m w x I i A v P j x F b n R y e S B U e X B l P S J S Z X N 1 b H R U e X B l I i B W Y W x 1 Z T 0 i c 0 V 4 Y 2 V w d G l v b i I g L z 4 8 R W 5 0 c n k g V H l w Z T 0 i R m l s b E V u Y W J s Z W Q i I F Z h b H V l P S J s M S I g L z 4 8 R W 5 0 c n k g V H l w Z T 0 i R m l s b E 9 i a m V j d F R 5 c G U i I F Z h b H V l P S J z V G F i b G U i I C 8 + P E V u d H J 5 I F R 5 c G U 9 I k Z p b G x U b 0 R h d G F N b 2 R l b E V u Y W J s Z W Q i I F Z h b H V l P S J s M C I g L z 4 8 R W 5 0 c n k g V H l w Z T 0 i R m l s b F R h c m d l d C I g V m F s d W U 9 I n N U Y W J s Z T I 0 N V 9 f M j g x M i I g L z 4 8 R W 5 0 c n k g V H l w Z T 0 i R m l s b G V k Q 2 9 t c G x l d G V S Z X N 1 b H R U b 1 d v c m t z a G V l d C I g V m F s d W U 9 I m w x I i A v P j x F b n R y e S B U e X B l P S J S Z W N v d m V y e V R h c m d l d F N o Z W V 0 I i B W Y W x 1 Z T 0 i c 1 N o Z W V 0 M y I g L z 4 8 R W 5 0 c n k g V H l w Z T 0 i U m V j b 3 Z l c n l U Y X J n Z X R D b 2 x 1 b W 4 i I F Z h b H V l P S J s M S I g L z 4 8 R W 5 0 c n k g V H l w Z T 0 i U m V j b 3 Z l c n l U Y X J n Z X R S b 3 c i I F Z h b H V l P S J s M S I g L z 4 8 R W 5 0 c n k g V H l w Z T 0 i R m l s b E V y c m 9 y Q 2 9 k Z S I g V m F s d W U 9 I n N V b m t u b 3 d u I i A v P j x F b n R y e S B U e X B l P S J G a W x s T G F z d F V w Z G F 0 Z W Q i I F Z h b H V l P S J k M j A y M S 0 w N i 0 z M F Q x N T o 1 M D o 1 M C 4 3 N j E 1 N z M 0 W i I g L z 4 8 R W 5 0 c n k g V H l w Z T 0 i R m l s b E N v b H V t b l R 5 c G V z I i B W Y W x 1 Z T 0 i c 0 J n Q U F B Q U F B Q U E 9 P S I g L z 4 8 R W 5 0 c n k g V H l w Z T 0 i R m l s b E N v b H V t b k 5 h b W V z I i B W Y W x 1 Z T 0 i c 1 s m c X V v d D t B c H B s a W N h d G l v b i B D a G F u b m V s J n F 1 b 3 Q 7 L C Z x d W 9 0 O 1 R v d G F s J n F 1 b 3 Q 7 L C Z x d W 9 0 O 0 9 u b G l u Z S Z x d W 9 0 O y w m c X V v d D t Q Y X B l c i B b b m 9 0 Z S A x X S Z x d W 9 0 O y w m c X V v d D t Q a G 9 u Z S B b b m 9 0 Z S A x X V t u b 3 R l M l 0 m c X V v d D s s J n F 1 b 3 Q 7 V W 5 r b m 9 3 b i B b b m 9 0 Z S A z X S Z x d W 9 0 O y w m c X V v d D s l I E 9 u b G l u Z S Z x d W 9 0 O 1 0 i I C 8 + P E V u d H J 5 I F R 5 c G U 9 I k Z p b G x T d G F 0 d X M i I F Z h b H V l P S J z Q 2 9 t c G x l d G U i I C 8 + P E V u d H J 5 I F R 5 c G U 9 I k Z p b G x D b 3 V u d C I g V m F s d W U 9 I m w x N C I g L z 4 8 R W 5 0 c n k g V H l w Z T 0 i R m l s b E V y c m 9 y Q 2 9 1 b n Q i I F Z h b H V l P S J s M C I g L z 4 8 R W 5 0 c n k g V H l w Z T 0 i U m V s Y X R p b 2 5 z a G l w S W 5 m b 0 N v b n R h a W 5 l c i I g V m F s d W U 9 I n N 7 J n F 1 b 3 Q 7 Y 2 9 s d W 1 u Q 2 9 1 b n Q m c X V v d D s 6 N y w m c X V v d D t r Z X l D b 2 x 1 b W 5 O Y W 1 l c y Z x d W 9 0 O z p b X S w m c X V v d D t x d W V y e V J l b G F 0 a W 9 u c 2 h p c H M m c X V v d D s 6 W 1 0 s J n F 1 b 3 Q 7 Y 2 9 s d W 1 u S W R l b n R p d G l l c y Z x d W 9 0 O z p b J n F 1 b 3 Q 7 U 2 V j d G l v b j E v V G F i b G U y N D U g K D I p L 0 N o Y W 5 n Z W Q g V H l w Z T I u e 0 F w c G x p Y 2 F 0 a W 9 u I E N o Y W 5 u Z W w s M H 0 m c X V v d D s s J n F 1 b 3 Q 7 U 2 V j d G l v b j E v V G F i b G U y N D U g K D I p L 0 N o Y W 5 n Z W Q g V H l w Z T I u e 1 R v d G F s L D F 9 J n F 1 b 3 Q 7 L C Z x d W 9 0 O 1 N l Y 3 R p b 2 4 x L 1 R h Y m x l M j Q 1 I C g y K S 9 D a G F u Z 2 V k I F R 5 c G U y L n t P b m x p b m U s M n 0 m c X V v d D s s J n F 1 b 3 Q 7 U 2 V j d G l v b j E v V G F i b G U y N D U g K D I p L 0 N o Y W 5 n Z W Q g V H l w Z T I u e 1 B h c G V y I F t u b 3 R l I D F d L D N 9 J n F 1 b 3 Q 7 L C Z x d W 9 0 O 1 N l Y 3 R p b 2 4 x L 1 R h Y m x l M j Q 1 I C g y K S 9 D a G F u Z 2 V k I F R 5 c G U y L n t Q a G 9 u Z S B b b m 9 0 Z S A x X V t u b 3 R l M l 0 s N H 0 m c X V v d D s s J n F 1 b 3 Q 7 U 2 V j d G l v b j E v V G F i b G U y N D U g K D I p L 0 N o Y W 5 n Z W Q g V H l w Z T I u e 1 V u a 2 5 v d 2 4 g W 2 5 v d G U g M 1 0 s N X 0 m c X V v d D s s J n F 1 b 3 Q 7 U 2 V j d G l v b j E v V G F i b G U y N D U g K D I p L 0 N o Y W 5 n Z W Q g V H l w Z T I u e y U g T 2 5 s a W 5 l L D Z 9 J n F 1 b 3 Q 7 X S w m c X V v d D t D b 2 x 1 b W 5 D b 3 V u d C Z x d W 9 0 O z o 3 L C Z x d W 9 0 O 0 t l e U N v b H V t b k 5 h b W V z J n F 1 b 3 Q 7 O l t d L C Z x d W 9 0 O 0 N v b H V t b k l k Z W 5 0 a X R p Z X M m c X V v d D s 6 W y Z x d W 9 0 O 1 N l Y 3 R p b 2 4 x L 1 R h Y m x l M j Q 1 I C g y K S 9 D a G F u Z 2 V k I F R 5 c G U y L n t B c H B s a W N h d G l v b i B D a G F u b m V s L D B 9 J n F 1 b 3 Q 7 L C Z x d W 9 0 O 1 N l Y 3 R p b 2 4 x L 1 R h Y m x l M j Q 1 I C g y K S 9 D a G F u Z 2 V k I F R 5 c G U y L n t U b 3 R h b C w x f S Z x d W 9 0 O y w m c X V v d D t T Z W N 0 a W 9 u M S 9 U Y W J s Z T I 0 N S A o M i k v Q 2 h h b m d l Z C B U e X B l M i 5 7 T 2 5 s a W 5 l L D J 9 J n F 1 b 3 Q 7 L C Z x d W 9 0 O 1 N l Y 3 R p b 2 4 x L 1 R h Y m x l M j Q 1 I C g y K S 9 D a G F u Z 2 V k I F R 5 c G U y L n t Q Y X B l c i B b b m 9 0 Z S A x X S w z f S Z x d W 9 0 O y w m c X V v d D t T Z W N 0 a W 9 u M S 9 U Y W J s Z T I 0 N S A o M i k v Q 2 h h b m d l Z C B U e X B l M i 5 7 U G h v b m U g W 2 5 v d G U g M V 1 b b m 9 0 Z T J d L D R 9 J n F 1 b 3 Q 7 L C Z x d W 9 0 O 1 N l Y 3 R p b 2 4 x L 1 R h Y m x l M j Q 1 I C g y K S 9 D a G F u Z 2 V k I F R 5 c G U y L n t V b m t u b 3 d u I F t u b 3 R l I D N d L D V 9 J n F 1 b 3 Q 7 L C Z x d W 9 0 O 1 N l Y 3 R p b 2 4 x L 1 R h Y m x l M j Q 1 I C g y K S 9 D a G F u Z 2 V k I F R 5 c G U y L n s l I E 9 u b G l u Z S w 2 f S Z x d W 9 0 O 1 0 s J n F 1 b 3 Q 7 U m V s Y X R p b 2 5 z a G l w S W 5 m b y Z x d W 9 0 O z p b X X 0 i I C 8 + P E V u d H J 5 I F R 5 c G U 9 I k x v Y W R l Z F R v Q W 5 h b H l z a X N T Z X J 2 a W N l c y I g V m F s d W U 9 I m w w I i A v P j x F b n R y e S B U e X B l P S J B Z G R l Z F R v R G F 0 Y U 1 v Z G V s I i B W Y W x 1 Z T 0 i b D A i I C 8 + P C 9 T d G F i b G V F b n R y a W V z P j w v S X R l b T 4 8 S X R l b T 4 8 S X R l b U x v Y 2 F 0 a W 9 u P j x J d G V t V H l w Z T 5 G b 3 J t d W x h P C 9 J d G V t V H l w Z T 4 8 S X R l b V B h d G g + U 2 V j d G l v b j E v V G F i b G U y N D U l M j A o N C k v U 2 9 1 c m N l P C 9 J d G V t U G F 0 a D 4 8 L 0 l 0 Z W 1 M b 2 N h d G l v b j 4 8 U 3 R h Y m x l R W 5 0 c m l l c y A v P j w v S X R l b T 4 8 S X R l b T 4 8 S X R l b U x v Y 2 F 0 a W 9 u P j x J d G V t V H l w Z T 5 G b 3 J t d W x h P C 9 J d G V t V H l w Z T 4 8 S X R l b V B h d G g + U 2 V j d G l v b j E v V G F i b G U y N D U l M j A o N C k v Q 2 h h b m d l Z C U y M F R 5 c G U 8 L 0 l 0 Z W 1 Q Y X R o P j w v S X R l b U x v Y 2 F 0 a W 9 u P j x T d G F i b G V F b n R y a W V z I C 8 + P C 9 J d G V t P j x J d G V t P j x J d G V t T G 9 j Y X R p b 2 4 + P E l 0 Z W 1 U e X B l P k Z v c m 1 1 b G E 8 L 0 l 0 Z W 1 U e X B l P j x J d G V t U G F 0 a D 5 T Z W N 0 a W 9 u M S 9 U Y W J s Z T I 0 N S U y M C g 0 K S 9 E Z W 1 v d G V k J T I w S G V h Z G V y c z w v S X R l b V B h d G g + P C 9 J d G V t T G 9 j Y X R p b 2 4 + P F N 0 Y W J s Z U V u d H J p Z X M g L z 4 8 L 0 l 0 Z W 0 + P E l 0 Z W 0 + P E l 0 Z W 1 M b 2 N h d G l v b j 4 8 S X R l b V R 5 c G U + R m 9 y b X V s Y T w v S X R l b V R 5 c G U + P E l 0 Z W 1 Q Y X R o P l N l Y 3 R p b 2 4 x L 1 R h Y m x l M j Q 1 J T I w K D Q p L 0 N o Y W 5 n Z W Q l M j B U e X B l M T w v S X R l b V B h d G g + P C 9 J d G V t T G 9 j Y X R p b 2 4 + P F N 0 Y W J s Z U V u d H J p Z X M g L z 4 8 L 0 l 0 Z W 0 + P E l 0 Z W 0 + P E l 0 Z W 1 M b 2 N h d G l v b j 4 8 S X R l b V R 5 c G U + R m 9 y b X V s Y T w v S X R l b V R 5 c G U + P E l 0 Z W 1 Q Y X R o P l N l Y 3 R p b 2 4 x L 1 R h Y m x l M j Q 1 J T I w K D Q p L 1 R y Y W 5 z c G 9 z Z W Q l M j B U Y W J s Z T w v S X R l b V B h d G g + P C 9 J d G V t T G 9 j Y X R p b 2 4 + P F N 0 Y W J s Z U V u d H J p Z X M g L z 4 8 L 0 l 0 Z W 0 + P E l 0 Z W 0 + P E l 0 Z W 1 M b 2 N h d G l v b j 4 8 S X R l b V R 5 c G U + R m 9 y b X V s Y T w v S X R l b V R 5 c G U + P E l 0 Z W 1 Q Y X R o P l N l Y 3 R p b 2 4 x L 1 R h Y m x l M j Q 1 J T I w K D Q p L 1 B y b 2 1 v d G V k J T I w S G V h Z G V y c z w v S X R l b V B h d G g + P C 9 J d G V t T G 9 j Y X R p b 2 4 + P F N 0 Y W J s Z U V u d H J p Z X M g L z 4 8 L 0 l 0 Z W 0 + P E l 0 Z W 0 + P E l 0 Z W 1 M b 2 N h d G l v b j 4 8 S X R l b V R 5 c G U + R m 9 y b X V s Y T w v S X R l b V R 5 c G U + P E l 0 Z W 1 Q Y X R o P l N l Y 3 R p b 2 4 x L 1 R h Y m x l M j Q 1 J T I w K D Q p L 0 N o Y W 5 n Z W Q l M j B U e X B l M j w v S X R l b V B h d G g + P C 9 J d G V t T G 9 j Y X R p b 2 4 + P F N 0 Y W J s Z U V u d H J p Z X M g L z 4 8 L 0 l 0 Z W 0 + P E l 0 Z W 0 + P E l 0 Z W 1 M b 2 N h d G l v b j 4 8 S X R l b V R 5 c G U + R m 9 y b X V s Y T w v S X R l b V R 5 c G U + P E l 0 Z W 1 Q Y X R o P l N l Y 3 R p b 2 4 x L 1 R h Y m x l M j Q 1 J T I w K D U p P C 9 J d G V t U G F 0 a D 4 8 L 0 l 0 Z W 1 M b 2 N h d G l v b j 4 8 U 3 R h Y m x l R W 5 0 c m l l c z 4 8 R W 5 0 c n k g V H l w Z T 0 i S X N Q c m l 2 Y X R l I i B W Y W x 1 Z T 0 i b D A i I C 8 + P E V u d H J 5 I F R 5 c G U 9 I k 5 h d m l n Y X R p b 2 5 T d G V w T m F t Z S I g V m F s d W U 9 I n N O Y X Z p Z 2 F 0 a W 9 u I i A v P j x F b n R y e S B U e X B l P S J S Z X N 1 b H R U e X B l I i B W Y W x 1 Z T 0 i c 0 V 4 Y 2 V w d G l v b i I g L z 4 8 R W 5 0 c n k g V H l w Z T 0 i R m l s b E V u Y W J s Z W Q i I F Z h b H V l P S J s M S I g L z 4 8 R W 5 0 c n k g V H l w Z T 0 i R m l s b E 9 i a m V j d F R 5 c G U i I F Z h b H V l P S J z V G F i b G U i I C 8 + P E V u d H J 5 I F R 5 c G U 9 I k Z p b G x U b 0 R h d G F N b 2 R l b E V u Y W J s Z W Q i I F Z h b H V l P S J s M C I g L z 4 8 R W 5 0 c n k g V H l w Z T 0 i R m l s b F R h c m d l d C I g V m F s d W U 9 I n N U Y W J s Z T I 0 N V 9 f M j g z I i A v P j x F b n R y e S B U e X B l P S J G a W x s Z W R D b 2 1 w b G V 0 Z V J l c 3 V s d F R v V 2 9 y a 3 N o Z W V 0 I i B W Y W x 1 Z T 0 i b D E i I C 8 + P E V u d H J 5 I F R 5 c G U 9 I l J l Y 2 9 2 Z X J 5 V G F y Z 2 V 0 U 2 h l Z X Q i I F Z h b H V l P S J z U 2 h l Z X Q z I i A v P j x F b n R y e S B U e X B l P S J S Z W N v d m V y e V R h c m d l d E N v b H V t b i I g V m F s d W U 9 I m w x I i A v P j x F b n R y e S B U e X B l P S J S Z W N v d m V y e V R h c m d l d F J v d y I g V m F s d W U 9 I m w x I i A v P j x F b n R y e S B U e X B l P S J G a W x s R X J y b 3 J D b 2 R l I i B W Y W x 1 Z T 0 i c 1 V u a 2 5 v d 2 4 i I C 8 + P E V u d H J 5 I F R 5 c G U 9 I k Z p b G x M Y X N 0 V X B k Y X R l Z C I g V m F s d W U 9 I m Q y M D I x L T A 2 L T M w V D E 1 O j U w O j U w L j c 2 M T U 3 M z R a I i A v P j x F b n R y e S B U e X B l P S J G a W x s Q 2 9 s d W 1 u V H l w Z X M i I F Z h b H V l P S J z Q m d B Q U F B Q U F B Q T 0 9 I i A v P j x F b n R y e S B U e X B l P S J G a W x s Q 2 9 s d W 1 u T m F t Z X M i I F Z h b H V l P S J z W y Z x d W 9 0 O 0 F w c G x p Y 2 F 0 a W 9 u I E N o Y W 5 u Z W w m c X V v d D s s J n F 1 b 3 Q 7 V G 9 0 Y W w m c X V v d D s s J n F 1 b 3 Q 7 T 2 5 s a W 5 l J n F 1 b 3 Q 7 L C Z x d W 9 0 O 1 B h c G V y I F t u b 3 R l I D F d J n F 1 b 3 Q 7 L C Z x d W 9 0 O 1 B o b 2 5 l I F t u b 3 R l I D F d W 2 5 v d G U y X S Z x d W 9 0 O y w m c X V v d D t V b m t u b 3 d u I F t u b 3 R l I D N d J n F 1 b 3 Q 7 L C Z x d W 9 0 O y U g T 2 5 s a W 5 l J n F 1 b 3 Q 7 X S I g L z 4 8 R W 5 0 c n k g V H l w Z T 0 i R m l s b F N 0 Y X R 1 c y I g V m F s d W U 9 I n N D b 2 1 w b G V 0 Z S I g L z 4 8 R W 5 0 c n k g V H l w Z T 0 i R m l s b E N v d W 5 0 I i B W Y W x 1 Z T 0 i b D E 0 I i A v P j x F b n R y e S B U e X B l P S J G a W x s R X J y b 3 J D b 3 V u d C I g V m F s d W U 9 I m w w I i A v P j x F b n R y e S B U e X B l P S J S Z W x h d G l v b n N o a X B J b m Z v Q 2 9 u d G F p b m V y I i B W Y W x 1 Z T 0 i c 3 s m c X V v d D t j b 2 x 1 b W 5 D b 3 V u d C Z x d W 9 0 O z o 3 L C Z x d W 9 0 O 2 t l e U N v b H V t b k 5 h b W V z J n F 1 b 3 Q 7 O l t d L C Z x d W 9 0 O 3 F 1 Z X J 5 U m V s Y X R p b 2 5 z a G l w c y Z x d W 9 0 O z p b X S w m c X V v d D t j b 2 x 1 b W 5 J Z G V u d G l 0 a W V z J n F 1 b 3 Q 7 O l s m c X V v d D t T Z W N 0 a W 9 u M S 9 U Y W J s Z T I 0 N S A o M i k v Q 2 h h b m d l Z C B U e X B l M i 5 7 Q X B w b G l j Y X R p b 2 4 g Q 2 h h b m 5 l b C w w f S Z x d W 9 0 O y w m c X V v d D t T Z W N 0 a W 9 u M S 9 U Y W J s Z T I 0 N S A o M i k v Q 2 h h b m d l Z C B U e X B l M i 5 7 V G 9 0 Y W w s M X 0 m c X V v d D s s J n F 1 b 3 Q 7 U 2 V j d G l v b j E v V G F i b G U y N D U g K D I p L 0 N o Y W 5 n Z W Q g V H l w Z T I u e 0 9 u b G l u Z S w y f S Z x d W 9 0 O y w m c X V v d D t T Z W N 0 a W 9 u M S 9 U Y W J s Z T I 0 N S A o M i k v Q 2 h h b m d l Z C B U e X B l M i 5 7 U G F w Z X I g W 2 5 v d G U g M V 0 s M 3 0 m c X V v d D s s J n F 1 b 3 Q 7 U 2 V j d G l v b j E v V G F i b G U y N D U g K D I p L 0 N o Y W 5 n Z W Q g V H l w Z T I u e 1 B o b 2 5 l I F t u b 3 R l I D F d W 2 5 v d G U y X S w 0 f S Z x d W 9 0 O y w m c X V v d D t T Z W N 0 a W 9 u M S 9 U Y W J s Z T I 0 N S A o M i k v Q 2 h h b m d l Z C B U e X B l M i 5 7 V W 5 r b m 9 3 b i B b b m 9 0 Z S A z X S w 1 f S Z x d W 9 0 O y w m c X V v d D t T Z W N 0 a W 9 u M S 9 U Y W J s Z T I 0 N S A o M i k v Q 2 h h b m d l Z C B U e X B l M i 5 7 J S B P b m x p b m U s N n 0 m c X V v d D t d L C Z x d W 9 0 O 0 N v b H V t b k N v d W 5 0 J n F 1 b 3 Q 7 O j c s J n F 1 b 3 Q 7 S 2 V 5 Q 2 9 s d W 1 u T m F t Z X M m c X V v d D s 6 W 1 0 s J n F 1 b 3 Q 7 Q 2 9 s d W 1 u S W R l b n R p d G l l c y Z x d W 9 0 O z p b J n F 1 b 3 Q 7 U 2 V j d G l v b j E v V G F i b G U y N D U g K D I p L 0 N o Y W 5 n Z W Q g V H l w Z T I u e 0 F w c G x p Y 2 F 0 a W 9 u I E N o Y W 5 u Z W w s M H 0 m c X V v d D s s J n F 1 b 3 Q 7 U 2 V j d G l v b j E v V G F i b G U y N D U g K D I p L 0 N o Y W 5 n Z W Q g V H l w Z T I u e 1 R v d G F s L D F 9 J n F 1 b 3 Q 7 L C Z x d W 9 0 O 1 N l Y 3 R p b 2 4 x L 1 R h Y m x l M j Q 1 I C g y K S 9 D a G F u Z 2 V k I F R 5 c G U y L n t P b m x p b m U s M n 0 m c X V v d D s s J n F 1 b 3 Q 7 U 2 V j d G l v b j E v V G F i b G U y N D U g K D I p L 0 N o Y W 5 n Z W Q g V H l w Z T I u e 1 B h c G V y I F t u b 3 R l I D F d L D N 9 J n F 1 b 3 Q 7 L C Z x d W 9 0 O 1 N l Y 3 R p b 2 4 x L 1 R h Y m x l M j Q 1 I C g y K S 9 D a G F u Z 2 V k I F R 5 c G U y L n t Q a G 9 u Z S B b b m 9 0 Z S A x X V t u b 3 R l M l 0 s N H 0 m c X V v d D s s J n F 1 b 3 Q 7 U 2 V j d G l v b j E v V G F i b G U y N D U g K D I p L 0 N o Y W 5 n Z W Q g V H l w Z T I u e 1 V u a 2 5 v d 2 4 g W 2 5 v d G U g M 1 0 s N X 0 m c X V v d D s s J n F 1 b 3 Q 7 U 2 V j d G l v b j E v V G F i b G U y N D U g K D I p L 0 N o Y W 5 n Z W Q g V H l w Z T I u e y U g T 2 5 s a W 5 l L D Z 9 J n F 1 b 3 Q 7 X S w m c X V v d D t S Z W x h d G l v b n N o a X B J b m Z v J n F 1 b 3 Q 7 O l t d f S I g L z 4 8 R W 5 0 c n k g V H l w Z T 0 i T G 9 h Z G V k V G 9 B b m F s e X N p c 1 N l c n Z p Y 2 V z I i B W Y W x 1 Z T 0 i b D A i I C 8 + P E V u d H J 5 I F R 5 c G U 9 I k F k Z G V k V G 9 E Y X R h T W 9 k Z W w i I F Z h b H V l P S J s M C I g L z 4 8 R W 5 0 c n k g V H l w Z T 0 i Q n V m Z m V y T m V 4 d F J l Z n J l c 2 g i I F Z h b H V l P S J s M S I g L z 4 8 L 1 N 0 Y W J s Z U V u d H J p Z X M + P C 9 J d G V t P j x J d G V t P j x J d G V t T G 9 j Y X R p b 2 4 + P E l 0 Z W 1 U e X B l P k Z v c m 1 1 b G E 8 L 0 l 0 Z W 1 U e X B l P j x J d G V t U G F 0 a D 5 T Z W N 0 a W 9 u M S 9 U Y W J s Z T I 0 N S U y M C g 1 K S 9 T b 3 V y Y 2 U 8 L 0 l 0 Z W 1 Q Y X R o P j w v S X R l b U x v Y 2 F 0 a W 9 u P j x T d G F i b G V F b n R y a W V z I C 8 + P C 9 J d G V t P j x J d G V t P j x J d G V t T G 9 j Y X R p b 2 4 + P E l 0 Z W 1 U e X B l P k Z v c m 1 1 b G E 8 L 0 l 0 Z W 1 U e X B l P j x J d G V t U G F 0 a D 5 T Z W N 0 a W 9 u M S 9 U Y W J s Z T I 0 N S U y M C g 1 K S 9 D a G F u Z 2 V k J T I w V H l w Z T w v S X R l b V B h d G g + P C 9 J d G V t T G 9 j Y X R p b 2 4 + P F N 0 Y W J s Z U V u d H J p Z X M g L z 4 8 L 0 l 0 Z W 0 + P E l 0 Z W 0 + P E l 0 Z W 1 M b 2 N h d G l v b j 4 8 S X R l b V R 5 c G U + R m 9 y b X V s Y T w v S X R l b V R 5 c G U + P E l 0 Z W 1 Q Y X R o P l N l Y 3 R p b 2 4 x L 1 R h Y m x l M j Q 1 J T I w K D U p L 0 R l b W 9 0 Z W Q l M j B I Z W F k Z X J z P C 9 J d G V t U G F 0 a D 4 8 L 0 l 0 Z W 1 M b 2 N h d G l v b j 4 8 U 3 R h Y m x l R W 5 0 c m l l c y A v P j w v S X R l b T 4 8 S X R l b T 4 8 S X R l b U x v Y 2 F 0 a W 9 u P j x J d G V t V H l w Z T 5 G b 3 J t d W x h P C 9 J d G V t V H l w Z T 4 8 S X R l b V B h d G g + U 2 V j d G l v b j E v V G F i b G U y N D U l M j A o N S k v Q 2 h h b m d l Z C U y M F R 5 c G U x P C 9 J d G V t U G F 0 a D 4 8 L 0 l 0 Z W 1 M b 2 N h d G l v b j 4 8 U 3 R h Y m x l R W 5 0 c m l l c y A v P j w v S X R l b T 4 8 S X R l b T 4 8 S X R l b U x v Y 2 F 0 a W 9 u P j x J d G V t V H l w Z T 5 G b 3 J t d W x h P C 9 J d G V t V H l w Z T 4 8 S X R l b V B h d G g + U 2 V j d G l v b j E v V G F i b G U y N D U l M j A o N S k v V H J h b n N w b 3 N l Z C U y M F R h Y m x l P C 9 J d G V t U G F 0 a D 4 8 L 0 l 0 Z W 1 M b 2 N h d G l v b j 4 8 U 3 R h Y m x l R W 5 0 c m l l c y A v P j w v S X R l b T 4 8 S X R l b T 4 8 S X R l b U x v Y 2 F 0 a W 9 u P j x J d G V t V H l w Z T 5 G b 3 J t d W x h P C 9 J d G V t V H l w Z T 4 8 S X R l b V B h d G g + U 2 V j d G l v b j E v V G F i b G U y N D U l M j A o N S k v U H J v b W 9 0 Z W Q l M j B I Z W F k Z X J z P C 9 J d G V t U G F 0 a D 4 8 L 0 l 0 Z W 1 M b 2 N h d G l v b j 4 8 U 3 R h Y m x l R W 5 0 c m l l c y A v P j w v S X R l b T 4 8 S X R l b T 4 8 S X R l b U x v Y 2 F 0 a W 9 u P j x J d G V t V H l w Z T 5 G b 3 J t d W x h P C 9 J d G V t V H l w Z T 4 8 S X R l b V B h d G g + U 2 V j d G l v b j E v V G F i b G U y N D U l M j A o N S k v Q 2 h h b m d l Z C U y M F R 5 c G U y P C 9 J d G V t U G F 0 a D 4 8 L 0 l 0 Z W 1 M b 2 N h d G l v b j 4 8 U 3 R h Y m x l R W 5 0 c m l l c y A v P j w v S X R l b T 4 8 L 0 l 0 Z W 1 z P j w v T G 9 j Y W x Q Y W N r Y W d l T W V 0 Y W R h d G F G a W x l P h Y A A A B Q S w U G A A A A A A A A A A A A A A A A A A A A A A A A 2 g A A A A E A A A D Q j J 3 f A R X R E Y x 6 A M B P w p f r A Q A A A G e Y y 0 Q b v 5 1 C q D q Y M R T W A C E A A A A A A g A A A A A A A 2 Y A A M A A A A A Q A A A A Z T d s k 3 d h Z 9 M Y M A 9 b t s o S 2 Q A A A A A E g A A A o A A A A B A A A A D + 9 Q I 0 W b V C 6 Y z S J e t V H r r K U A A A A E 8 q o 5 K F C D j V d Q z / W I p G 7 M 8 U d b / g 2 i q y Z m j + w V h X P 0 G j c u v H Y P V A C P c q 2 J U c b M V v Z C V O b z u q j 0 S 8 d S q 9 / g Q s Q J z c i e G 4 L x d a + / D C R x P Y v s W 7 F A A A A A a d G H Y L 8 9 a k B m o p 0 l 0 Q h l M 2 / a 5 H < / D a t a M a s h u p > 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3D23B722-0F16-4F36-B81D-0E6945129F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 of Contents</vt:lpstr>
      <vt:lpstr>Table 1 Applications by Month</vt:lpstr>
      <vt:lpstr>Table 2 Applications by Channel</vt:lpstr>
      <vt:lpstr>Table 3 Applications by LA</vt:lpstr>
      <vt:lpstr>Table 4 Processing Times</vt:lpstr>
      <vt:lpstr>Table 5a Payments by Age </vt:lpstr>
      <vt:lpstr>Table 5b Mean Value of Payments</vt:lpstr>
      <vt:lpstr>Table 6 Payments by Month</vt:lpstr>
      <vt:lpstr>Table 7 Payments by LA </vt:lpstr>
      <vt:lpstr>Table 8a Re-determinations</vt:lpstr>
      <vt:lpstr>Table 8b Appeals</vt:lpstr>
      <vt:lpstr>Chart 1 Applications by Month</vt:lpstr>
      <vt:lpstr>Chart 2 Payments to Recipients</vt:lpstr>
      <vt:lpstr>Table 3 - Full data</vt:lpstr>
      <vt:lpstr>Table 7 - Full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2022-02-14T11:16:09Z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A30267893</vt:lpwstr>
  </property>
  <property fmtid="{D5CDD505-2E9C-101B-9397-08002B2CF9AE}" pid="4" name="Objective-Title">
    <vt:lpwstr>Best Start Grant Best Start Foods - July 2020 tables_v03 DRAFT</vt:lpwstr>
  </property>
  <property fmtid="{D5CDD505-2E9C-101B-9397-08002B2CF9AE}" pid="5" name="Objective-Description">
    <vt:lpwstr/>
  </property>
  <property fmtid="{D5CDD505-2E9C-101B-9397-08002B2CF9AE}" pid="6" name="Objective-CreationStamp">
    <vt:filetime>2020-10-02T15:34:35Z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2020-10-05T17:07:39Z</vt:filetime>
  </property>
  <property fmtid="{D5CDD505-2E9C-101B-9397-08002B2CF9AE}" pid="11" name="Objective-Owner">
    <vt:lpwstr>Barrie, Graham G (N413624)</vt:lpwstr>
  </property>
  <property fmtid="{D5CDD505-2E9C-101B-9397-08002B2CF9AE}" pid="12" name="Objective-Path">
    <vt:lpwstr>Barrie, Graham G (N413624):Stats Role - Projects:</vt:lpwstr>
  </property>
  <property fmtid="{D5CDD505-2E9C-101B-9397-08002B2CF9AE}" pid="13" name="Objective-Parent">
    <vt:lpwstr>Stats Role - Projects</vt:lpwstr>
  </property>
  <property fmtid="{D5CDD505-2E9C-101B-9397-08002B2CF9AE}" pid="14" name="Objective-State">
    <vt:lpwstr>Being Edited</vt:lpwstr>
  </property>
  <property fmtid="{D5CDD505-2E9C-101B-9397-08002B2CF9AE}" pid="15" name="Objective-VersionId">
    <vt:lpwstr>vA44050201</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