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9090" yWindow="-110" windowWidth="19420" windowHeight="10420" tabRatio="816"/>
  </bookViews>
  <sheets>
    <sheet name="Contents" sheetId="1" r:id="rId1"/>
    <sheet name="Table 1 Applications by month" sheetId="81" r:id="rId2"/>
    <sheet name="Table 2 Applications by channel" sheetId="82" r:id="rId3"/>
    <sheet name="Table 3 Applications by age" sheetId="83" r:id="rId4"/>
    <sheet name="Table 4 Applications by LA" sheetId="84" r:id="rId5"/>
    <sheet name="Table 5 Cared for People" sheetId="85" r:id="rId6"/>
    <sheet name="Table 6 Processing Times" sheetId="86" r:id="rId7"/>
    <sheet name="Table 7 Payments by LA" sheetId="87" r:id="rId8"/>
    <sheet name="Table 8 Payments by month" sheetId="88" r:id="rId9"/>
    <sheet name="Table 9 Clients by payments" sheetId="89" r:id="rId10"/>
    <sheet name="Table 10 Re-determinations" sheetId="90" r:id="rId11"/>
    <sheet name="Chart 1 Applications by month" sheetId="51" r:id="rId12"/>
    <sheet name="Table 3 Full data" sheetId="92" r:id="rId13"/>
    <sheet name="Table 4 Full data" sheetId="91" r:id="rId14"/>
    <sheet name="Table 7 Full data" sheetId="93" r:id="rId15"/>
  </sheets>
  <definedNames>
    <definedName name="_xlnm._FilterDatabase" localSheetId="12" hidden="1">'Table 3 Full data'!$A$1:$J$26</definedName>
    <definedName name="_xlnm._FilterDatabase" localSheetId="13" hidden="1">'Table 4 Full data'!$A$1:$F$145</definedName>
    <definedName name="_xlnm._FilterDatabase" localSheetId="14" hidden="1">'Table 7 Full data'!$A$1:$D$145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84" l="1"/>
  <c r="F29" i="84" s="1"/>
  <c r="A13" i="83" l="1"/>
  <c r="A12" i="83"/>
  <c r="A11" i="83"/>
  <c r="A10" i="83"/>
  <c r="A9" i="83"/>
  <c r="A9" i="84"/>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44" i="84"/>
  <c r="A43" i="84"/>
  <c r="A42" i="84"/>
  <c r="A41" i="84"/>
  <c r="A40" i="84"/>
  <c r="A39" i="84"/>
  <c r="A38" i="84"/>
  <c r="A37" i="84"/>
  <c r="A36" i="84"/>
  <c r="A35" i="84"/>
  <c r="A34" i="84"/>
  <c r="A33" i="84"/>
  <c r="A32" i="84"/>
  <c r="A31" i="84"/>
  <c r="A30" i="84"/>
  <c r="A28" i="84"/>
  <c r="A27" i="84"/>
  <c r="A26" i="84"/>
  <c r="A25" i="84"/>
  <c r="A24" i="84"/>
  <c r="A23" i="84"/>
  <c r="A22" i="84"/>
  <c r="A21" i="84"/>
  <c r="A20" i="84"/>
  <c r="A19" i="84"/>
  <c r="A18" i="84"/>
  <c r="A17" i="84"/>
  <c r="A16" i="84"/>
  <c r="A15" i="84"/>
  <c r="A14" i="84"/>
  <c r="A13" i="84"/>
  <c r="A12" i="84"/>
  <c r="A11" i="84"/>
  <c r="A10" i="84"/>
  <c r="D10" i="87" l="1"/>
  <c r="C10" i="87"/>
  <c r="B10" i="87"/>
  <c r="B11" i="87"/>
  <c r="C11" i="87"/>
  <c r="D11" i="87"/>
  <c r="B19" i="87"/>
  <c r="C19" i="87"/>
  <c r="D19" i="87"/>
  <c r="B27" i="87"/>
  <c r="C27" i="87"/>
  <c r="D27" i="87"/>
  <c r="B35" i="87"/>
  <c r="C35" i="87"/>
  <c r="D35" i="87"/>
  <c r="B43" i="87"/>
  <c r="C43" i="87"/>
  <c r="D43" i="87"/>
  <c r="B17" i="87"/>
  <c r="C17" i="87"/>
  <c r="D17" i="87"/>
  <c r="B12" i="87"/>
  <c r="C12" i="87"/>
  <c r="D12" i="87"/>
  <c r="B20" i="87"/>
  <c r="C20" i="87"/>
  <c r="D20" i="87"/>
  <c r="B28" i="87"/>
  <c r="C28" i="87"/>
  <c r="D28" i="87"/>
  <c r="B36" i="87"/>
  <c r="D36" i="87"/>
  <c r="C36" i="87"/>
  <c r="B44" i="87"/>
  <c r="C44" i="87"/>
  <c r="D44" i="87"/>
  <c r="B25" i="87"/>
  <c r="C25" i="87"/>
  <c r="D25" i="87"/>
  <c r="C13" i="87"/>
  <c r="D13" i="87"/>
  <c r="B13" i="87"/>
  <c r="C21" i="87"/>
  <c r="D21" i="87"/>
  <c r="B21" i="87"/>
  <c r="C29" i="87"/>
  <c r="D29" i="87"/>
  <c r="B29" i="87"/>
  <c r="C37" i="87"/>
  <c r="D37" i="87"/>
  <c r="B37" i="87"/>
  <c r="D15" i="87"/>
  <c r="B15" i="87"/>
  <c r="C15" i="87"/>
  <c r="B33" i="87"/>
  <c r="C33" i="87"/>
  <c r="D33" i="87"/>
  <c r="B14" i="87"/>
  <c r="C14" i="87"/>
  <c r="D14" i="87"/>
  <c r="B22" i="87"/>
  <c r="C22" i="87"/>
  <c r="D22" i="87"/>
  <c r="B30" i="87"/>
  <c r="C30" i="87"/>
  <c r="D30" i="87"/>
  <c r="B38" i="87"/>
  <c r="C38" i="87"/>
  <c r="D38" i="87"/>
  <c r="D39" i="87"/>
  <c r="B39" i="87"/>
  <c r="C39" i="87"/>
  <c r="C23" i="87"/>
  <c r="D23" i="87"/>
  <c r="B23" i="87"/>
  <c r="C31" i="87"/>
  <c r="D31" i="87"/>
  <c r="B31" i="87"/>
  <c r="B16" i="87"/>
  <c r="C16" i="87"/>
  <c r="D16" i="87"/>
  <c r="B24" i="87"/>
  <c r="C24" i="87"/>
  <c r="D24" i="87"/>
  <c r="B32" i="87"/>
  <c r="C32" i="87"/>
  <c r="D32" i="87"/>
  <c r="B40" i="87"/>
  <c r="C40" i="87"/>
  <c r="D40" i="87"/>
  <c r="B41" i="87"/>
  <c r="C41" i="87"/>
  <c r="D41" i="87"/>
  <c r="C9" i="87"/>
  <c r="B9" i="87"/>
  <c r="D9" i="87"/>
  <c r="D18" i="87"/>
  <c r="C18" i="87"/>
  <c r="B18" i="87"/>
  <c r="D26" i="87"/>
  <c r="C26" i="87"/>
  <c r="B26" i="87"/>
  <c r="D34" i="87"/>
  <c r="C34" i="87"/>
  <c r="B34" i="87"/>
  <c r="D42" i="87"/>
  <c r="C42" i="87"/>
  <c r="B42" i="87"/>
  <c r="B31" i="84"/>
  <c r="F31" i="84"/>
  <c r="C31" i="84"/>
  <c r="D31" i="84"/>
  <c r="E31" i="84"/>
  <c r="B39" i="84"/>
  <c r="C39" i="84"/>
  <c r="D39" i="84"/>
  <c r="E39" i="84"/>
  <c r="F39" i="84"/>
  <c r="B23" i="84"/>
  <c r="C23" i="84"/>
  <c r="D23" i="84"/>
  <c r="E23" i="84"/>
  <c r="F23" i="84"/>
  <c r="B17" i="84"/>
  <c r="C17" i="84"/>
  <c r="D17" i="84"/>
  <c r="E17" i="84"/>
  <c r="F17" i="84"/>
  <c r="B34" i="84"/>
  <c r="C34" i="84"/>
  <c r="D34" i="84"/>
  <c r="E34" i="84"/>
  <c r="F34" i="84"/>
  <c r="B42" i="84"/>
  <c r="C42" i="84"/>
  <c r="D42" i="84"/>
  <c r="E42" i="84"/>
  <c r="F42" i="84"/>
  <c r="D24" i="84"/>
  <c r="E24" i="84"/>
  <c r="C24" i="84"/>
  <c r="F24" i="84"/>
  <c r="B24" i="84"/>
  <c r="C41" i="84"/>
  <c r="D41" i="84"/>
  <c r="E41" i="84"/>
  <c r="B41" i="84"/>
  <c r="F41" i="84"/>
  <c r="B26" i="84"/>
  <c r="C26" i="84"/>
  <c r="D26" i="84"/>
  <c r="E26" i="84"/>
  <c r="F26" i="84"/>
  <c r="E27" i="84"/>
  <c r="F27" i="84"/>
  <c r="B27" i="84"/>
  <c r="C27" i="84"/>
  <c r="D27" i="84"/>
  <c r="E35" i="84"/>
  <c r="F35" i="84"/>
  <c r="B35" i="84"/>
  <c r="C35" i="84"/>
  <c r="D35" i="84"/>
  <c r="E43" i="84"/>
  <c r="F43" i="84"/>
  <c r="B43" i="84"/>
  <c r="C43" i="84"/>
  <c r="D43" i="84"/>
  <c r="D32" i="84"/>
  <c r="E32" i="84"/>
  <c r="F32" i="84"/>
  <c r="B32" i="84"/>
  <c r="C32" i="84"/>
  <c r="C33" i="84"/>
  <c r="E33" i="84"/>
  <c r="B33" i="84"/>
  <c r="D33" i="84"/>
  <c r="F33" i="84"/>
  <c r="E9" i="84"/>
  <c r="D9" i="84"/>
  <c r="C9" i="84"/>
  <c r="B9" i="84"/>
  <c r="F9" i="84"/>
  <c r="B10" i="84"/>
  <c r="C10" i="84"/>
  <c r="D10" i="84"/>
  <c r="E10" i="84"/>
  <c r="F10" i="84"/>
  <c r="E19" i="84"/>
  <c r="F19" i="84"/>
  <c r="B19" i="84"/>
  <c r="C19" i="84"/>
  <c r="D19" i="84"/>
  <c r="F12" i="84"/>
  <c r="B12" i="84"/>
  <c r="C12" i="84"/>
  <c r="D12" i="84"/>
  <c r="E12" i="84"/>
  <c r="D20" i="84"/>
  <c r="B20" i="84"/>
  <c r="C20" i="84"/>
  <c r="E20" i="84"/>
  <c r="F20" i="84"/>
  <c r="E28" i="84"/>
  <c r="F28" i="84"/>
  <c r="B28" i="84"/>
  <c r="C28" i="84"/>
  <c r="D28" i="84"/>
  <c r="D36" i="84"/>
  <c r="F36" i="84"/>
  <c r="B36" i="84"/>
  <c r="C36" i="84"/>
  <c r="E36" i="84"/>
  <c r="D44" i="84"/>
  <c r="E44" i="84"/>
  <c r="F44" i="84"/>
  <c r="B44" i="84"/>
  <c r="C44" i="84"/>
  <c r="B15" i="84"/>
  <c r="E15" i="84"/>
  <c r="C15" i="84"/>
  <c r="D15" i="84"/>
  <c r="F15" i="84"/>
  <c r="C25" i="84"/>
  <c r="D25" i="84"/>
  <c r="E25" i="84"/>
  <c r="B25" i="84"/>
  <c r="F25" i="84"/>
  <c r="E11" i="84"/>
  <c r="F11" i="84"/>
  <c r="C11" i="84"/>
  <c r="B11" i="84"/>
  <c r="D11" i="84"/>
  <c r="C13" i="84"/>
  <c r="D13" i="84"/>
  <c r="E13" i="84"/>
  <c r="F13" i="84"/>
  <c r="B13" i="84"/>
  <c r="C21" i="84"/>
  <c r="D21" i="84"/>
  <c r="E21" i="84"/>
  <c r="F21" i="84"/>
  <c r="B21" i="84"/>
  <c r="C29" i="84"/>
  <c r="D29" i="84"/>
  <c r="E29" i="84"/>
  <c r="B29" i="84"/>
  <c r="C37" i="84"/>
  <c r="D37" i="84"/>
  <c r="E37" i="84"/>
  <c r="F37" i="84"/>
  <c r="B37" i="84"/>
  <c r="D16" i="84"/>
  <c r="E16" i="84"/>
  <c r="B16" i="84"/>
  <c r="F16" i="84"/>
  <c r="C16" i="84"/>
  <c r="D40" i="84"/>
  <c r="E40" i="84"/>
  <c r="F40" i="84"/>
  <c r="B40" i="84"/>
  <c r="C40" i="84"/>
  <c r="B18" i="84"/>
  <c r="C18" i="84"/>
  <c r="D18" i="84"/>
  <c r="E18" i="84"/>
  <c r="F18" i="84"/>
  <c r="F14" i="84"/>
  <c r="C14" i="84"/>
  <c r="E14" i="84"/>
  <c r="B14" i="84"/>
  <c r="D14" i="84"/>
  <c r="F22" i="84"/>
  <c r="C22" i="84"/>
  <c r="D22" i="84"/>
  <c r="E22" i="84"/>
  <c r="B22" i="84"/>
  <c r="F30" i="84"/>
  <c r="B30" i="84"/>
  <c r="C30" i="84"/>
  <c r="D30" i="84"/>
  <c r="E30" i="84"/>
  <c r="F38" i="84"/>
  <c r="C38" i="84"/>
  <c r="B38" i="84"/>
  <c r="D38" i="84"/>
  <c r="E38" i="84"/>
  <c r="H13" i="83"/>
  <c r="B13" i="83"/>
  <c r="F13" i="83"/>
  <c r="I13" i="83"/>
  <c r="J13" i="83"/>
  <c r="G13" i="83"/>
  <c r="C13" i="83"/>
  <c r="D13" i="83"/>
  <c r="E13" i="83"/>
  <c r="E9" i="83"/>
  <c r="C9" i="83"/>
  <c r="D9" i="83"/>
  <c r="B9" i="83"/>
  <c r="J9" i="83"/>
  <c r="G9" i="83"/>
  <c r="I9" i="83"/>
  <c r="H9" i="83"/>
  <c r="F9" i="83"/>
  <c r="B11" i="83"/>
  <c r="J11" i="83"/>
  <c r="H11" i="83"/>
  <c r="C11" i="83"/>
  <c r="D11" i="83"/>
  <c r="E11" i="83"/>
  <c r="F11" i="83"/>
  <c r="G11" i="83"/>
  <c r="I11" i="83"/>
  <c r="C10" i="83"/>
  <c r="I10" i="83"/>
  <c r="J10" i="83"/>
  <c r="D10" i="83"/>
  <c r="E10" i="83"/>
  <c r="B10" i="83"/>
  <c r="F10" i="83"/>
  <c r="G10" i="83"/>
  <c r="H10" i="83"/>
  <c r="I12" i="83"/>
  <c r="B12" i="83"/>
  <c r="J12" i="83"/>
  <c r="C12" i="83"/>
  <c r="D12" i="83"/>
  <c r="H12" i="83"/>
  <c r="E12" i="83"/>
  <c r="F12" i="83"/>
  <c r="G12" i="83"/>
</calcChain>
</file>

<file path=xl/sharedStrings.xml><?xml version="1.0" encoding="utf-8"?>
<sst xmlns="http://schemas.openxmlformats.org/spreadsheetml/2006/main" count="1100" uniqueCount="438">
  <si>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</si>
  <si>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</si>
  <si>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</si>
  <si>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</si>
  <si>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</si>
  <si>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</si>
  <si>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</si>
  <si>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</si>
  <si>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</si>
  <si>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Table 9</t>
  </si>
  <si>
    <t>Table 8</t>
  </si>
  <si>
    <t>Table 7</t>
  </si>
  <si>
    <t>2 cared for people</t>
  </si>
  <si>
    <t>3 cared for people</t>
  </si>
  <si>
    <t>1 cared for person</t>
  </si>
  <si>
    <t>Chart 1: Applications for Young Carer Grant by month</t>
  </si>
  <si>
    <t>Table 1: Applications and decisions for Young Carer Grant by month</t>
  </si>
  <si>
    <t>Applications and decisions for Young Carer Grant by month</t>
  </si>
  <si>
    <t>Table 2: Applications for Young Carer Grant by channel</t>
  </si>
  <si>
    <t>Applications for Young Carer Grant by Channel</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</si>
  <si>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</si>
  <si>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</si>
  <si>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</si>
  <si>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</si>
  <si>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</si>
  <si>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</si>
  <si>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</si>
  <si>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</si>
  <si>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Total applications received</t>
  </si>
  <si>
    <t>Table 3: Applications and decisions for Young Carer Grant by age group</t>
  </si>
  <si>
    <t>Applications and decisions for Young Carer Grant by age group</t>
  </si>
  <si>
    <t>Applications for Young Carer Grant by month</t>
  </si>
  <si>
    <t>Table 8: Young Carer Grant payments by month of issue</t>
  </si>
  <si>
    <t>Figures are rounded to the nearest pound value and may not sum due to rounding.</t>
  </si>
  <si>
    <t>Table 10</t>
  </si>
  <si>
    <t>Young Carer Grant payments by Local Authority</t>
  </si>
  <si>
    <t>Table 9: Young Carer Grant clients by number of payments received</t>
  </si>
  <si>
    <t>Young Carer Grant clients by number of payments received</t>
  </si>
  <si>
    <t>This worksheet contains one table. Applications are summarised by month and financial year totals are located at the bottom of the table.</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</si>
  <si>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</si>
  <si>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</si>
  <si>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</si>
  <si>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</si>
  <si>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</si>
  <si>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</si>
  <si>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</si>
  <si>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</si>
  <si>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</si>
  <si>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</si>
  <si>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</si>
  <si>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</si>
  <si>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</si>
  <si>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</si>
  <si>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</si>
  <si>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</si>
  <si>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</si>
  <si>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</si>
  <si>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</si>
  <si>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</si>
  <si>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</si>
  <si>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 xml:space="preserve">Total applications received 
</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</si>
  <si>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</si>
  <si>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</si>
  <si>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</si>
  <si>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</si>
  <si>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</si>
  <si>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</si>
  <si>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</si>
  <si>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 xml:space="preserve">Online Applications </t>
  </si>
  <si>
    <t xml:space="preserve">Paper Applications 
</t>
  </si>
  <si>
    <t xml:space="preserve">Percentage of Online Applications </t>
  </si>
  <si>
    <t>Percentage of Paper Applications</t>
  </si>
  <si>
    <t>Percentage of Phone Applications</t>
  </si>
  <si>
    <t>July 2021</t>
  </si>
  <si>
    <t>This worksheet contains one table. Applications are summarised by month and application channel.</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</si>
  <si>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</si>
  <si>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[note 1] The other category includes applications where the applicant is under 16 years old, over 18 years old, or where the applicant's age is unknown. </t>
  </si>
  <si>
    <t xml:space="preserve">Financial Year selection 
</t>
  </si>
  <si>
    <t>All time</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</si>
  <si>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</si>
  <si>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Unknown</t>
  </si>
  <si>
    <t>[note 1] The unknown category contains applications where the number of cared for people is unknown.</t>
  </si>
  <si>
    <t>[note 2] Applications are processed once a decision has been made to authorise or deny, or once an application is withdrawn by the applicant.</t>
  </si>
  <si>
    <t>Applications processed in the same day</t>
  </si>
  <si>
    <t>Applications processed in 
1-5 days</t>
  </si>
  <si>
    <t>Applications processed in 
6-10 days</t>
  </si>
  <si>
    <t>Applications processed in 
11-15 days</t>
  </si>
  <si>
    <t>Applications processed in 
16-20 days</t>
  </si>
  <si>
    <t>Applications processed in 
21 or more days</t>
  </si>
  <si>
    <t>Percentage of Total Applications Processed</t>
  </si>
  <si>
    <t xml:space="preserve">[note 2] Data is presented by the month of decision rather than month the application was received. </t>
  </si>
  <si>
    <t>This worksheet contains one table on processing times. Applications are summarised by month. Percentages of total processed applications are located at the bottom of the table.</t>
  </si>
  <si>
    <t>[c] Figures suppressed for disclosure control</t>
  </si>
  <si>
    <t>[note 5] The median is the middle value of an ordered dataset, or the point at which half of the values are higher and half of the values are lower. Measure is in working days.</t>
  </si>
  <si>
    <t>Table 7: Value of Young Carer Grant payments issued, by Local Authority</t>
  </si>
  <si>
    <t>October/November 2019</t>
  </si>
  <si>
    <t xml:space="preserve">[note 1] Payments are issued once applications are processed and a decision is made to authorise the application. Data is presented by the month of a payment being issued rather than month the application was received or the month of decision. </t>
  </si>
  <si>
    <t>Financial Year 2019 - 2020</t>
  </si>
  <si>
    <t>Financial Year 2020 - 2021</t>
  </si>
  <si>
    <t>Financial Year 2021 - 2022</t>
  </si>
  <si>
    <r>
      <t>Financial Year 2021 - 2022</t>
    </r>
    <r>
      <rPr>
        <sz val="11"/>
        <color theme="1"/>
        <rFont val="Calibri"/>
        <family val="2"/>
        <scheme val="minor"/>
      </rPr>
      <t/>
    </r>
  </si>
  <si>
    <t>This worksheet contains one table which summarises clients by the number of payments received.</t>
  </si>
  <si>
    <t xml:space="preserve">[note 1] Payments are issued once applications are processed and a decision is made to authorise the application. </t>
  </si>
  <si>
    <t xml:space="preserve">Re-determinations as a percentage of decisions processed 
</t>
  </si>
  <si>
    <t>This worksheet contains one table which summarises re-determinations by month.</t>
  </si>
  <si>
    <t>Table 10: Re-determinations for Young Carer Grant Management Information</t>
  </si>
  <si>
    <t>Denied applications</t>
  </si>
  <si>
    <t>Withdrawn applications</t>
  </si>
  <si>
    <t>Percentage of processed applications withdrawn</t>
  </si>
  <si>
    <t>[c]</t>
  </si>
  <si>
    <t>Total excluding re-determinations</t>
  </si>
  <si>
    <t>not applicable</t>
  </si>
  <si>
    <t>[note 2] Payments issued includes payments that are a result of re-determinations and appeals.</t>
  </si>
  <si>
    <t>Percentage of total applications received</t>
  </si>
  <si>
    <t>[c] Figures suppressed for disclosure control.</t>
  </si>
  <si>
    <t>Notes are located below this table and begin in cell A12.</t>
  </si>
  <si>
    <t>Total applications processed</t>
  </si>
  <si>
    <t>Aberdeen City 2019_2020</t>
  </si>
  <si>
    <t>Aberdeen City 2020_2021</t>
  </si>
  <si>
    <t>Aberdeen City 2021_2022</t>
  </si>
  <si>
    <t>Aberdeen City All time</t>
  </si>
  <si>
    <t>Aberdeenshire 2019_2020</t>
  </si>
  <si>
    <t>Aberdeenshire 2020_2021</t>
  </si>
  <si>
    <t>Aberdeenshire 2021_2022</t>
  </si>
  <si>
    <t>Aberdeenshire All time</t>
  </si>
  <si>
    <t>Angus 2019_2020</t>
  </si>
  <si>
    <t>Angus 2020_2021</t>
  </si>
  <si>
    <t>Angus 2021_2022</t>
  </si>
  <si>
    <t>Angus All time</t>
  </si>
  <si>
    <t>Argyll and Bute 2019_2020</t>
  </si>
  <si>
    <t>Argyll and Bute 2020_2021</t>
  </si>
  <si>
    <t>Argyll and Bute 2021_2022</t>
  </si>
  <si>
    <t>Argyll and Bute All time</t>
  </si>
  <si>
    <t>Clackmannanshire 2019_2020</t>
  </si>
  <si>
    <t>Clackmannanshire 2020_2021</t>
  </si>
  <si>
    <t>Clackmannanshire 2021_2022</t>
  </si>
  <si>
    <t>Clackmannanshire All time</t>
  </si>
  <si>
    <t>Dumfries and Galloway 2019_2020</t>
  </si>
  <si>
    <t>Dumfries and Galloway 2020_2021</t>
  </si>
  <si>
    <t>Dumfries and Galloway 2021_2022</t>
  </si>
  <si>
    <t>Dumfries and Galloway All time</t>
  </si>
  <si>
    <t>Dundee City 2019_2020</t>
  </si>
  <si>
    <t>Dundee City 2020_2021</t>
  </si>
  <si>
    <t>Dundee City 2021_2022</t>
  </si>
  <si>
    <t>Dundee City All time</t>
  </si>
  <si>
    <t>East Ayrshire 2019_2020</t>
  </si>
  <si>
    <t>East Ayrshire 2020_2021</t>
  </si>
  <si>
    <t>East Ayrshire 2021_2022</t>
  </si>
  <si>
    <t>East Ayrshire All time</t>
  </si>
  <si>
    <t>East Dunbartonshire 2019_2020</t>
  </si>
  <si>
    <t>East Dunbartonshire 2020_2021</t>
  </si>
  <si>
    <t>East Dunbartonshire 2021_2022</t>
  </si>
  <si>
    <t>East Dunbartonshire All time</t>
  </si>
  <si>
    <t>East Lothian 2019_2020</t>
  </si>
  <si>
    <t>East Lothian 2020_2021</t>
  </si>
  <si>
    <t>East Lothian 2021_2022</t>
  </si>
  <si>
    <t>East Lothian All time</t>
  </si>
  <si>
    <t>East Renfrewshire 2019_2020</t>
  </si>
  <si>
    <t>East Renfrewshire 2020_2021</t>
  </si>
  <si>
    <t>East Renfrewshire 2021_2022</t>
  </si>
  <si>
    <t>East Renfrewshire All time</t>
  </si>
  <si>
    <t>Edinburgh, City of 2019_2020</t>
  </si>
  <si>
    <t>Edinburgh, City of 2020_2021</t>
  </si>
  <si>
    <t>Edinburgh, City of 2021_2022</t>
  </si>
  <si>
    <t>Edinburgh, City of All time</t>
  </si>
  <si>
    <t>Falkirk 2019_2020</t>
  </si>
  <si>
    <t>Falkirk 2020_2021</t>
  </si>
  <si>
    <t>Falkirk 2021_2022</t>
  </si>
  <si>
    <t>Falkirk All time</t>
  </si>
  <si>
    <t>Fife 2019_2020</t>
  </si>
  <si>
    <t>Fife 2020_2021</t>
  </si>
  <si>
    <t>Fife 2021_2022</t>
  </si>
  <si>
    <t>Fife All time</t>
  </si>
  <si>
    <t>Glasgow City 2019_2020</t>
  </si>
  <si>
    <t>Glasgow City 2020_2021</t>
  </si>
  <si>
    <t>Glasgow City 2021_2022</t>
  </si>
  <si>
    <t>Glasgow City All time</t>
  </si>
  <si>
    <t>Highland 2019_2020</t>
  </si>
  <si>
    <t>Highland 2020_2021</t>
  </si>
  <si>
    <t>Highland 2021_2022</t>
  </si>
  <si>
    <t>Highland All time</t>
  </si>
  <si>
    <t>Inverclyde 2019_2020</t>
  </si>
  <si>
    <t>Inverclyde 2020_2021</t>
  </si>
  <si>
    <t>Inverclyde 2021_2022</t>
  </si>
  <si>
    <t>Inverclyde All time</t>
  </si>
  <si>
    <t>Midlothian 2019_2020</t>
  </si>
  <si>
    <t>Midlothian 2020_2021</t>
  </si>
  <si>
    <t>Midlothian 2021_2022</t>
  </si>
  <si>
    <t>Midlothian All time</t>
  </si>
  <si>
    <t>Moray 2019_2020</t>
  </si>
  <si>
    <t>Moray 2020_2021</t>
  </si>
  <si>
    <t>Moray 2021_2022</t>
  </si>
  <si>
    <t>Moray All time</t>
  </si>
  <si>
    <t>Na h-Eileanan Siar 2019_2020</t>
  </si>
  <si>
    <t>Na h-Eileanan Siar 2020_2021</t>
  </si>
  <si>
    <t>Na h-Eileanan Siar 2021_2022</t>
  </si>
  <si>
    <t>Na h-Eileanan Siar All time</t>
  </si>
  <si>
    <t>No address 2019_2020</t>
  </si>
  <si>
    <t>No address 2020_2021</t>
  </si>
  <si>
    <t>No address 2021_2022</t>
  </si>
  <si>
    <t>No address All time</t>
  </si>
  <si>
    <t>Non-Scottish postcode 2019_2020</t>
  </si>
  <si>
    <t>Non-Scottish postcode 2020_2021</t>
  </si>
  <si>
    <t>Non-Scottish postcode 2021_2022</t>
  </si>
  <si>
    <t>Non-Scottish postcode All time</t>
  </si>
  <si>
    <t>North Ayrshire 2019_2020</t>
  </si>
  <si>
    <t>North Ayrshire 2020_2021</t>
  </si>
  <si>
    <t>North Ayrshire 2021_2022</t>
  </si>
  <si>
    <t>North Ayrshire All time</t>
  </si>
  <si>
    <t>North Lanarkshire 2019_2020</t>
  </si>
  <si>
    <t>North Lanarkshire 2020_2021</t>
  </si>
  <si>
    <t>North Lanarkshire 2021_2022</t>
  </si>
  <si>
    <t>North Lanarkshire All time</t>
  </si>
  <si>
    <t>Orkney Islands 2019_2020</t>
  </si>
  <si>
    <t>Orkney Islands 2020_2021</t>
  </si>
  <si>
    <t>Orkney Islands 2021_2022</t>
  </si>
  <si>
    <t>Orkney Islands All time</t>
  </si>
  <si>
    <t>Perth and Kinross 2019_2020</t>
  </si>
  <si>
    <t>Perth and Kinross 2020_2021</t>
  </si>
  <si>
    <t>Perth and Kinross 2021_2022</t>
  </si>
  <si>
    <t>Perth and Kinross All time</t>
  </si>
  <si>
    <t>Renfrewshire 2019_2020</t>
  </si>
  <si>
    <t>Renfrewshire 2020_2021</t>
  </si>
  <si>
    <t>Renfrewshire 2021_2022</t>
  </si>
  <si>
    <t>Renfrewshire All time</t>
  </si>
  <si>
    <t>Scottish Borders 2019_2020</t>
  </si>
  <si>
    <t>Scottish Borders 2020_2021</t>
  </si>
  <si>
    <t>Scottish Borders 2021_2022</t>
  </si>
  <si>
    <t>Scottish Borders All time</t>
  </si>
  <si>
    <t>Shetland Islands 2019_2020</t>
  </si>
  <si>
    <t>Shetland Islands 2020_2021</t>
  </si>
  <si>
    <t>Shetland Islands 2021_2022</t>
  </si>
  <si>
    <t>Shetland Islands All time</t>
  </si>
  <si>
    <t>South Ayrshire 2019_2020</t>
  </si>
  <si>
    <t>South Ayrshire 2020_2021</t>
  </si>
  <si>
    <t>South Ayrshire 2021_2022</t>
  </si>
  <si>
    <t>South Ayrshire All time</t>
  </si>
  <si>
    <t>South Lanarkshire 2019_2020</t>
  </si>
  <si>
    <t>South Lanarkshire 2020_2021</t>
  </si>
  <si>
    <t>South Lanarkshire 2021_2022</t>
  </si>
  <si>
    <t>South Lanarkshire All time</t>
  </si>
  <si>
    <t>Stirling 2019_2020</t>
  </si>
  <si>
    <t>Stirling 2020_2021</t>
  </si>
  <si>
    <t>Stirling 2021_2022</t>
  </si>
  <si>
    <t>Stirling All time</t>
  </si>
  <si>
    <t>Total 2019_2020</t>
  </si>
  <si>
    <t>Total 2020_2021</t>
  </si>
  <si>
    <t>Total 2021_2022</t>
  </si>
  <si>
    <t>Total All time</t>
  </si>
  <si>
    <t>West Dunbartonshire 2019_2020</t>
  </si>
  <si>
    <t>West Dunbartonshire 2020_2021</t>
  </si>
  <si>
    <t>West Dunbartonshire 2021_2022</t>
  </si>
  <si>
    <t>West Dunbartonshire All time</t>
  </si>
  <si>
    <t>West Lothian 2019_2020</t>
  </si>
  <si>
    <t>West Lothian 2020_2021</t>
  </si>
  <si>
    <t>West Lothian 2021_2022</t>
  </si>
  <si>
    <t>West Lothian All time</t>
  </si>
  <si>
    <t>Local Authority</t>
  </si>
  <si>
    <t>Total Applications Received</t>
  </si>
  <si>
    <t>Financial Years</t>
  </si>
  <si>
    <t>2019_2020</t>
  </si>
  <si>
    <t>2020_2021</t>
  </si>
  <si>
    <t>2021_2022</t>
  </si>
  <si>
    <t>Other 2019_2020</t>
  </si>
  <si>
    <t>Other 2020_2021</t>
  </si>
  <si>
    <t>Other 2021_2022</t>
  </si>
  <si>
    <t>Other All time</t>
  </si>
  <si>
    <t>Age group</t>
  </si>
  <si>
    <t>Value of Payments awarded</t>
  </si>
  <si>
    <t>Unknown - Scottish address 2019_2020</t>
  </si>
  <si>
    <t>Unknown - Scottish address All time</t>
  </si>
  <si>
    <t>Unknown - Scottish address 2020_2021</t>
  </si>
  <si>
    <t>Unknown - Scottish address 2021_2022</t>
  </si>
  <si>
    <t>16 years 2019_2020</t>
  </si>
  <si>
    <t>16 years 2020_2021</t>
  </si>
  <si>
    <t>16 years 2021_2022</t>
  </si>
  <si>
    <t>16 years All time</t>
  </si>
  <si>
    <t>17 years 2019_2020</t>
  </si>
  <si>
    <t>17 years 2020_2021</t>
  </si>
  <si>
    <t>17 years 2021_2022</t>
  </si>
  <si>
    <t>17 years All time</t>
  </si>
  <si>
    <t>18 years 2019_2020</t>
  </si>
  <si>
    <t>18 years 2020_2021</t>
  </si>
  <si>
    <t>18 years 2021_2022</t>
  </si>
  <si>
    <t>18 years All time</t>
  </si>
  <si>
    <t>Percentage of total payments</t>
  </si>
  <si>
    <t>Table 3 Full data</t>
  </si>
  <si>
    <t>Table 4 Full data</t>
  </si>
  <si>
    <t>Table 7 Full data</t>
  </si>
  <si>
    <t>Applications and decisions for Young Carer Grant by age group - full data</t>
  </si>
  <si>
    <t>Applications and authorisations for Young Carer Grant by Local Authority - full data</t>
  </si>
  <si>
    <t>Young Carer Grant payments by Local Authority - full data</t>
  </si>
  <si>
    <t>To view the full data behind this table please see the worksheet titled Table 3 Full data.</t>
  </si>
  <si>
    <t>To view the full data behind this table please see the worksheet titled Table 4 Full data.</t>
  </si>
  <si>
    <t>This worksheet contains one table which summarises applications by number of cared for people applicants have included in their applications.</t>
  </si>
  <si>
    <t>To view the full data behind this table please see the worksheet titled Table 7 Full data.</t>
  </si>
  <si>
    <t>Notes are located below this table and begin in cell A6.</t>
  </si>
  <si>
    <t>Table of Contents</t>
  </si>
  <si>
    <t>Table or Chart Number</t>
  </si>
  <si>
    <t xml:space="preserve">Table or Chart Description </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</si>
  <si>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</si>
  <si>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</si>
  <si>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August 2021</t>
  </si>
  <si>
    <t>September 2021</t>
  </si>
  <si>
    <t>October 2021</t>
  </si>
  <si>
    <t>Notes are located below this table and begin in cell A14.</t>
  </si>
  <si>
    <t>Notes are located below this table and begin in cell A45.</t>
  </si>
  <si>
    <t>Number of Payments</t>
  </si>
  <si>
    <t>This worksheet contains one chart. Alternative text for this chart is located in cell A3.</t>
  </si>
  <si>
    <t>Re-determinations for Young Carer Grant management information</t>
  </si>
  <si>
    <t>[note 1] Young Carer Grant was launched on the 21 October 2019 so figures for October 2019 are from 21 to 31 October only.</t>
  </si>
  <si>
    <t>[note 3] Young Carer Grant was launched on the 21 October 2019 so figures for October 2019 are from 21 to 31 October only.</t>
  </si>
  <si>
    <t>[note 4] Applications were taken from 21 October 2019, leaving  9 working days in the month of October 2019 in which decisions could be made.</t>
  </si>
  <si>
    <t>[note 2] Due to Young Carer Grant launching on the 21 October 2019, a very small number of payments were made in October 2019. Payment values for October 2019 and November 2019 have been aggregated.</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</si>
  <si>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</si>
  <si>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</si>
  <si>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</si>
  <si>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November 2021</t>
  </si>
  <si>
    <t>December 2021</t>
  </si>
  <si>
    <t>January 2022</t>
  </si>
  <si>
    <t>February 2022</t>
  </si>
  <si>
    <t>March 2022</t>
  </si>
  <si>
    <t>April 2022</t>
  </si>
  <si>
    <t>Financial Year 2022 - 2023</t>
  </si>
  <si>
    <t>2022_2023</t>
  </si>
  <si>
    <t>16 years 2022_2023</t>
  </si>
  <si>
    <t>17 years 2022_2023</t>
  </si>
  <si>
    <t>18 years 2022_2023</t>
  </si>
  <si>
    <t>Other 2022_2023</t>
  </si>
  <si>
    <t>Total 2022_2023</t>
  </si>
  <si>
    <t xml:space="preserve">Total applications processed excluding re-determinations
</t>
  </si>
  <si>
    <t xml:space="preserve"> not applicable </t>
  </si>
  <si>
    <t>Aberdeen City 2022_2023</t>
  </si>
  <si>
    <t>Aberdeenshire 2022_2023</t>
  </si>
  <si>
    <t>Angus 2022_2023</t>
  </si>
  <si>
    <t>Argyll and Bute 2022_2023</t>
  </si>
  <si>
    <t>Clackmannanshire 2022_2023</t>
  </si>
  <si>
    <t>Dumfries and Galloway 2022_2023</t>
  </si>
  <si>
    <t>Dundee City 2022_2023</t>
  </si>
  <si>
    <t>East Ayrshire 2022_2023</t>
  </si>
  <si>
    <t>East Dunbartonshire 2022_2023</t>
  </si>
  <si>
    <t>East Lothian 2022_2023</t>
  </si>
  <si>
    <t>East Renfrewshire 2022_2023</t>
  </si>
  <si>
    <t>Edinburgh, City of 2022_2023</t>
  </si>
  <si>
    <t>Falkirk 2022_2023</t>
  </si>
  <si>
    <t>Fife 2022_2023</t>
  </si>
  <si>
    <t>Glasgow City 2022_2023</t>
  </si>
  <si>
    <t>Highland 2022_2023</t>
  </si>
  <si>
    <t>Inverclyde 2022_2023</t>
  </si>
  <si>
    <t>Midlothian 2022_2023</t>
  </si>
  <si>
    <t>Moray 2022_2023</t>
  </si>
  <si>
    <t>Na h-Eileanan Siar 2022_2023</t>
  </si>
  <si>
    <t>No address 2022_2023</t>
  </si>
  <si>
    <t>Non-Scottish postcode 2022_2023</t>
  </si>
  <si>
    <t>North Ayrshire 2022_2023</t>
  </si>
  <si>
    <t>North Lanarkshire 2022_2023</t>
  </si>
  <si>
    <t>Orkney Islands 2022_2023</t>
  </si>
  <si>
    <t>Perth and Kinross 2022_2023</t>
  </si>
  <si>
    <t>Renfrewshire 2022_2023</t>
  </si>
  <si>
    <t>Scottish Borders 2022_2023</t>
  </si>
  <si>
    <t>Shetland Islands 2022_2023</t>
  </si>
  <si>
    <t>South Ayrshire 2022_2023</t>
  </si>
  <si>
    <t>South Lanarkshire 2022_2023</t>
  </si>
  <si>
    <t>Stirling 2022_2023</t>
  </si>
  <si>
    <t>West Dunbartonshire 2022_2023</t>
  </si>
  <si>
    <t>West Lothian 2022_2023</t>
  </si>
  <si>
    <t>Unknown - Scottish address 2022_2023</t>
  </si>
  <si>
    <t>Percentage of total payments made</t>
  </si>
  <si>
    <t>This worksheet contains one table which summarises payments by month of payment issue. Financial year totals are located at the bottom of the table.</t>
  </si>
  <si>
    <t xml:space="preserve">Alternative Text: This chart summarises the number of applications received since the benefit launched on 21 October 2019. Vertical bars are used to show the number of applications for each month. The figures used in this chart are located in Table 1 of this document. </t>
  </si>
  <si>
    <r>
      <t xml:space="preserve">Applications Received by month 
</t>
    </r>
    <r>
      <rPr>
        <sz val="12"/>
        <rFont val="Calibri"/>
        <family val="2"/>
        <scheme val="minor"/>
      </rPr>
      <t>[note 1]</t>
    </r>
  </si>
  <si>
    <r>
      <t xml:space="preserve">Phone Applications 
</t>
    </r>
    <r>
      <rPr>
        <sz val="12"/>
        <rFont val="Calibri"/>
        <family val="2"/>
        <scheme val="minor"/>
      </rPr>
      <t>[note 2]</t>
    </r>
  </si>
  <si>
    <r>
      <t xml:space="preserve">Number of cared for people 
</t>
    </r>
    <r>
      <rPr>
        <sz val="12"/>
        <color theme="1"/>
        <rFont val="Calibri"/>
        <family val="2"/>
        <scheme val="minor"/>
      </rPr>
      <t>[note 1]</t>
    </r>
  </si>
  <si>
    <r>
      <t xml:space="preserve">Total applications processed  
</t>
    </r>
    <r>
      <rPr>
        <sz val="12"/>
        <rFont val="Calibri"/>
        <family val="2"/>
        <scheme val="minor"/>
      </rPr>
      <t>[note 2]</t>
    </r>
  </si>
  <si>
    <r>
      <t xml:space="preserve">Processing Time by Month 
</t>
    </r>
    <r>
      <rPr>
        <sz val="12"/>
        <rFont val="Calibri"/>
        <family val="2"/>
        <scheme val="minor"/>
      </rPr>
      <t>[note 1][note 2][note 3]</t>
    </r>
  </si>
  <si>
    <r>
      <t xml:space="preserve">Applications processed within 10 days 
</t>
    </r>
    <r>
      <rPr>
        <sz val="12"/>
        <rFont val="Calibri"/>
        <family val="2"/>
        <scheme val="minor"/>
      </rPr>
      <t>[note 4]</t>
    </r>
  </si>
  <si>
    <r>
      <t xml:space="preserve">Applications processed within 15 days 
</t>
    </r>
    <r>
      <rPr>
        <sz val="12"/>
        <rFont val="Calibri"/>
        <family val="2"/>
        <scheme val="minor"/>
      </rPr>
      <t>[note 4]</t>
    </r>
  </si>
  <si>
    <r>
      <t xml:space="preserve">Applications processed in 16 days or more 
</t>
    </r>
    <r>
      <rPr>
        <sz val="12"/>
        <rFont val="Calibri"/>
        <family val="2"/>
        <scheme val="minor"/>
      </rPr>
      <t>[note 4]</t>
    </r>
  </si>
  <si>
    <r>
      <t xml:space="preserve">Percentage of applications processed within 10 days 
</t>
    </r>
    <r>
      <rPr>
        <sz val="12"/>
        <rFont val="Calibri"/>
        <family val="2"/>
        <scheme val="minor"/>
      </rPr>
      <t>[note 4]</t>
    </r>
  </si>
  <si>
    <r>
      <t xml:space="preserve">Median Average Processing Time 
</t>
    </r>
    <r>
      <rPr>
        <sz val="12"/>
        <rFont val="Calibri"/>
        <family val="2"/>
        <scheme val="minor"/>
      </rPr>
      <t>[note 5]</t>
    </r>
  </si>
  <si>
    <r>
      <t xml:space="preserve">Total number of payments issued 
</t>
    </r>
    <r>
      <rPr>
        <sz val="12"/>
        <color theme="1"/>
        <rFont val="Calibri"/>
        <family val="2"/>
        <scheme val="minor"/>
      </rPr>
      <t>[note 1][note 2][note 3]</t>
    </r>
  </si>
  <si>
    <r>
      <t xml:space="preserve">Number of clients who have received at least one payment 
</t>
    </r>
    <r>
      <rPr>
        <sz val="12"/>
        <color theme="1"/>
        <rFont val="Calibri"/>
        <family val="2"/>
        <scheme val="minor"/>
      </rPr>
      <t>[note 4]</t>
    </r>
  </si>
  <si>
    <r>
      <t xml:space="preserve">Number of clients who have received 2 payments 
</t>
    </r>
    <r>
      <rPr>
        <sz val="12"/>
        <color theme="1"/>
        <rFont val="Calibri"/>
        <family val="2"/>
        <scheme val="minor"/>
      </rPr>
      <t>[note 4]</t>
    </r>
  </si>
  <si>
    <r>
      <t xml:space="preserve">Number of clients who have received 3 payments 
</t>
    </r>
    <r>
      <rPr>
        <sz val="12"/>
        <color theme="1"/>
        <rFont val="Calibri"/>
        <family val="2"/>
        <scheme val="minor"/>
      </rPr>
      <t>[note 4]</t>
    </r>
  </si>
  <si>
    <r>
      <t xml:space="preserve">Number of re-determinations received 
</t>
    </r>
    <r>
      <rPr>
        <sz val="12"/>
        <rFont val="Calibri"/>
        <family val="2"/>
        <scheme val="minor"/>
      </rPr>
      <t>[note 2]</t>
    </r>
  </si>
  <si>
    <r>
      <t xml:space="preserve">Re-determinations completed 
</t>
    </r>
    <r>
      <rPr>
        <sz val="12"/>
        <rFont val="Calibri"/>
        <family val="2"/>
        <scheme val="minor"/>
      </rPr>
      <t>[note 3]</t>
    </r>
  </si>
  <si>
    <r>
      <t xml:space="preserve">Completed re-determinations which are disallowed 
</t>
    </r>
    <r>
      <rPr>
        <sz val="12"/>
        <rFont val="Calibri"/>
        <family val="2"/>
        <scheme val="minor"/>
      </rPr>
      <t>[note 3]</t>
    </r>
  </si>
  <si>
    <r>
      <t xml:space="preserve">Completed re-determinations which are allowed or partially allowed 
</t>
    </r>
    <r>
      <rPr>
        <sz val="12"/>
        <rFont val="Calibri"/>
        <family val="2"/>
        <scheme val="minor"/>
      </rPr>
      <t>[note 3]</t>
    </r>
  </si>
  <si>
    <r>
      <t xml:space="preserve">Completed re-determinations which are withdrawn 
</t>
    </r>
    <r>
      <rPr>
        <sz val="12"/>
        <rFont val="Calibri"/>
        <family val="2"/>
        <scheme val="minor"/>
      </rPr>
      <t>[note 3]</t>
    </r>
  </si>
  <si>
    <r>
      <t xml:space="preserve">Median response time in working days 
</t>
    </r>
    <r>
      <rPr>
        <sz val="12"/>
        <rFont val="Calibri"/>
        <family val="2"/>
        <scheme val="minor"/>
      </rPr>
      <t>[note 4][note 5]</t>
    </r>
  </si>
  <si>
    <r>
      <t xml:space="preserve">Re-determinations closed within 16 working days 
</t>
    </r>
    <r>
      <rPr>
        <sz val="12"/>
        <color theme="1"/>
        <rFont val="Calibri"/>
        <family val="2"/>
        <scheme val="minor"/>
      </rPr>
      <t>[note 4]</t>
    </r>
  </si>
  <si>
    <t>May 2022</t>
  </si>
  <si>
    <t>June 2022</t>
  </si>
  <si>
    <t>July 2022</t>
  </si>
  <si>
    <t>Notes are located below this table and begin in cell A46.</t>
  </si>
  <si>
    <t xml:space="preserve">[note 3] Applications are processed once a decision has been made to authorise or deny, or once an application is withdrawn by the applicant. Data is presented by the month of decision rather than month the application was received. </t>
  </si>
  <si>
    <r>
      <t xml:space="preserve">Month
</t>
    </r>
    <r>
      <rPr>
        <sz val="12"/>
        <color theme="1"/>
        <rFont val="Calibri"/>
        <family val="2"/>
        <scheme val="minor"/>
      </rPr>
      <t xml:space="preserve">[note 1][note 2]
</t>
    </r>
  </si>
  <si>
    <r>
      <t xml:space="preserve">Total applications processed  
</t>
    </r>
    <r>
      <rPr>
        <sz val="12"/>
        <color theme="1"/>
        <rFont val="Calibri"/>
        <family val="2"/>
        <scheme val="minor"/>
      </rPr>
      <t>[note 3]</t>
    </r>
  </si>
  <si>
    <r>
      <t xml:space="preserve">Total applications processed 
</t>
    </r>
    <r>
      <rPr>
        <sz val="12"/>
        <color theme="1"/>
        <rFont val="Calibri"/>
        <family val="2"/>
        <scheme val="minor"/>
      </rPr>
      <t>[note 3]</t>
    </r>
  </si>
  <si>
    <t xml:space="preserve">[note 3] Applications are processed once a decision has been made to authorise or deny, or once an application is withdrawn by the applicant. </t>
  </si>
  <si>
    <r>
      <t xml:space="preserve">Age of applicant 
</t>
    </r>
    <r>
      <rPr>
        <sz val="12"/>
        <color theme="1"/>
        <rFont val="Calibri"/>
        <family val="2"/>
        <scheme val="minor"/>
      </rPr>
      <t xml:space="preserve">[note 1] [note 2] </t>
    </r>
  </si>
  <si>
    <r>
      <t xml:space="preserve">Month of payment issue
</t>
    </r>
    <r>
      <rPr>
        <sz val="12"/>
        <rFont val="Calibri"/>
        <family val="2"/>
        <scheme val="minor"/>
      </rPr>
      <t xml:space="preserve">[note 1][note 2][note 3]
</t>
    </r>
  </si>
  <si>
    <t xml:space="preserve">[note 4] Includes payments that are a result of re-determinations and appeals. </t>
  </si>
  <si>
    <t>[note 6] The flat rate paid to clients has increased over time from £300 to £305.10 for applications received on or after 1 April 2020, £308.15 on applications received on or after 1 April 2021, and £326.65 on applications received on or after 1 April 2022.</t>
  </si>
  <si>
    <r>
      <t xml:space="preserve">Number of Payments </t>
    </r>
    <r>
      <rPr>
        <sz val="12"/>
        <color theme="1"/>
        <rFont val="Calibri"/>
        <family val="2"/>
        <scheme val="minor"/>
      </rPr>
      <t>[note 4][note 5]</t>
    </r>
  </si>
  <si>
    <r>
      <t>Value of payments</t>
    </r>
    <r>
      <rPr>
        <b/>
        <vertAlign val="superscript"/>
        <sz val="12"/>
        <color theme="1"/>
        <rFont val="Calibri"/>
        <family val="2"/>
        <scheme val="minor"/>
      </rPr>
      <t xml:space="preserve"> 
</t>
    </r>
    <r>
      <rPr>
        <sz val="12"/>
        <color theme="1"/>
        <rFont val="Calibri"/>
        <family val="2"/>
        <scheme val="minor"/>
      </rPr>
      <t>[note 4]
[note 5][note 6]</t>
    </r>
  </si>
  <si>
    <t xml:space="preserve">[note 5] Excludes a very small number of payments which are made manually to clients (see the Data Quality section of the publication for more information). </t>
  </si>
  <si>
    <t xml:space="preserve">[note 3] Payments issued excludes a very small number of payments which are made manually to clients (see the Data Quality section of the publication for more information). </t>
  </si>
  <si>
    <t>Number of clients who have received 1 payment only</t>
  </si>
  <si>
    <t>Young Carer Grant from 21 October 2019 to 31 October 2022</t>
  </si>
  <si>
    <t>August 2022</t>
  </si>
  <si>
    <t>September 2022</t>
  </si>
  <si>
    <t>October 2022</t>
  </si>
  <si>
    <t>[note 2]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October 2022.</t>
  </si>
  <si>
    <t>Notes are located below this table and begin in cell A49.</t>
  </si>
  <si>
    <t>[note 3]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October 2022.</t>
  </si>
  <si>
    <t>Notes are located below this table and begin in cell A47.</t>
  </si>
  <si>
    <t xml:space="preserve">[note 1] Processing time is calculated in working days, and public holidays are excluded, even if applications were processed by staff working overtime on these days. Processing time is only calculated for applications that were decided by 31 October 2022, and does not include any applications that are flagged as having had a re-determination request. The number of applications processed in this table is therefore lower than the number of decisions shown in other tables. </t>
  </si>
  <si>
    <t>[note 4] Young Carer Grant is a payment that can be applied for annually where clients can receive payment for each year that they meet the eligilibilty criteria. More information on this can be found in the publication document.</t>
  </si>
  <si>
    <r>
      <t xml:space="preserve">Local Authority 
</t>
    </r>
    <r>
      <rPr>
        <sz val="12"/>
        <rFont val="Calibri"/>
        <family val="2"/>
        <scheme val="minor"/>
      </rPr>
      <t>[note 1][note 2][note 3][note 4]</t>
    </r>
  </si>
  <si>
    <r>
      <t xml:space="preserve">Total applications processed 
</t>
    </r>
    <r>
      <rPr>
        <sz val="12"/>
        <rFont val="Calibri"/>
        <family val="2"/>
        <scheme val="minor"/>
      </rPr>
      <t xml:space="preserve"> [note 5]</t>
    </r>
  </si>
  <si>
    <t xml:space="preserve">[note 5] Applications are processed once a decision has been made to authorise or deny, or once an application is withdrawn by the applicant. </t>
  </si>
  <si>
    <r>
      <t xml:space="preserve">Local Authority 
</t>
    </r>
    <r>
      <rPr>
        <sz val="12"/>
        <color theme="1"/>
        <rFont val="Calibri"/>
        <family val="2"/>
        <scheme val="minor"/>
      </rPr>
      <t>[note 1][note 2][note 3][note 4]</t>
    </r>
  </si>
  <si>
    <r>
      <t>Value of payments</t>
    </r>
    <r>
      <rPr>
        <b/>
        <vertAlign val="superscript"/>
        <sz val="12"/>
        <color theme="1"/>
        <rFont val="Calibri"/>
        <family val="2"/>
        <scheme val="minor"/>
      </rPr>
      <t xml:space="preserve"> 
</t>
    </r>
    <r>
      <rPr>
        <sz val="12"/>
        <color theme="1"/>
        <rFont val="Calibri"/>
        <family val="2"/>
        <scheme val="minor"/>
      </rPr>
      <t>[note 5][note 6]
[note 7][note 8]</t>
    </r>
  </si>
  <si>
    <t>[note 3] Applications have been assigned as being non-Scottish if the postcode on the application cannot be matched to a Scottish Local Authority using a postcode lookup file, and where the application is also from a non-Scottish postcode area.</t>
  </si>
  <si>
    <t>[note 4] Some applications do not have a postcode and therefore cannot be matched to local authority or country. These are categorised as No Address in the table.</t>
  </si>
  <si>
    <t xml:space="preserve">[note 5] Payments are issued once applications are processed and a decision is made to authorise the application. Data is presented by the date a payment is issued rather than date the application was received or the date of decision. </t>
  </si>
  <si>
    <t>[note 6] Value of payments includes payments that are a result of re-determinations and appeals.</t>
  </si>
  <si>
    <t xml:space="preserve">[note 7] Value of payments excludes a very small number of payments which are made manually to clients (see the Data Quality section of the publication for more information) </t>
  </si>
  <si>
    <t>[note 8] The flat rate paid to clients has increased over time from £300 to £305.10 for applications received on or after 1 April 2020, £308.15 on applications received on or after 1 April 2021, and £326.65 on applications received on or after 1 April 2022.</t>
  </si>
  <si>
    <t>[note 3] Applications have been assigned as being non-Scottish if they do not appear on the lookup file used to match postcodes to Scottish local authorities, and if the applications is from a non-Scottish postcode area.</t>
  </si>
  <si>
    <t>[note 4] Some applications did not have a postcode and therefore cannot be matched to local authority or country.</t>
  </si>
  <si>
    <r>
      <t xml:space="preserve">Month 
</t>
    </r>
    <r>
      <rPr>
        <sz val="12"/>
        <rFont val="Calibri"/>
        <family val="2"/>
        <scheme val="minor"/>
      </rPr>
      <t>[note 1]</t>
    </r>
  </si>
  <si>
    <t>[note 1]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</si>
  <si>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Data is presented by the month the redetermination was received. Data presented does not include invalid re-determinations.</t>
  </si>
  <si>
    <t>[note 3] Data is presented by the month of decision rather than month the re-determination was received. Data presented does not include invalid re-determinations.</t>
  </si>
  <si>
    <t xml:space="preserve">[note 4] Average days to respond and percentage closed within 16 working days are only calculated for re-determinations that were disallowed, allowed, or partially allowed - this figure excludes re-determinations that were withdrawn or invalid. </t>
  </si>
  <si>
    <t>[note 5] Median has been used to calculate the average number of days to respond. The median is the middle value of an ordered dataset, or the point at which half of the values are higher and half of the values are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</si>
</sst>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43" formatCode="_-* #,##0.00_-;\-* #,##0.00_-;_-* &quot;-&quot;??_-;_-@_-"/>
    <numFmt numFmtId="164" formatCode="_-* #,##0_-;\-* #,##0_-;_-* &quot;-&quot;??_-;_-@_-"/>
    <numFmt numFmtId="165" formatCode="&quot;£&quot;#,##0"/>
    <numFmt numFmtId="166" formatCode="0.0%"/>
    <numFmt numFmtId="167" formatCode="_-[$£-809]* #,##0_-;\-[$£-809]* #,##0_-;_-[$£-809]* &quot;-&quot;??_-;_-@_-"/>
    <numFmt numFmtId="168" formatCode="_-[$£-809]* #,##0_-;\-[$£-809]* #,##0_-;_-[$£-809]*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5"/>
      <color theme="3"/>
      <name val="Calibri"/>
      <family val="2"/>
      <scheme val="minor"/>
    </font>
    <font>
      <sz val="12"/>
      <name val="Calibri"/>
      <family val="2"/>
      <scheme val="minor"/>
    </font>
    <font>
      <b/>
      <sz val="12"/>
      <name val="Calibri"/>
      <family val="2"/>
      <scheme val="minor"/>
    </font>
    <font>
      <b/>
      <sz val="12"/>
      <color theme="1"/>
      <name val="Calibri"/>
      <family val="2"/>
      <scheme val="minor"/>
    </font>
    <font>
      <b/>
      <vertAlign val="superscript"/>
      <sz val="12"/>
      <color theme="1"/>
      <name val="Calibri"/>
      <family val="2"/>
      <scheme val="minor"/>
    </font>
    <font>
      <b/>
      <sz val="16"/>
      <color theme="1"/>
      <name val="Calibri"/>
      <family val="2"/>
      <scheme val="minor"/>
    </font>
    <font>
      <sz val="12"/>
      <color theme="1"/>
      <name val="Calibri"/>
      <family val="2"/>
      <scheme val="minor"/>
    </font>
    <font>
      <b/>
      <sz val="16"/>
      <name val="Calibri"/>
      <family val="2"/>
      <scheme val="minor"/>
    </font>
    <font>
      <sz val="12"/>
      <color rgb="FFFF0000"/>
      <name val="Calibri"/>
      <family val="2"/>
      <scheme val="minor"/>
    </font>
    <font>
      <b/>
      <sz val="11"/>
      <color rgb="FFFF0000"/>
      <name val="Arial"/>
      <family val="2"/>
    </font>
    <font>
      <b/>
      <sz val="14"/>
      <color theme="1"/>
      <name val="Calibri"/>
      <family val="2"/>
      <scheme val="minor"/>
    </font>
    <font>
      <u/>
      <sz val="12"/>
      <color theme="10"/>
      <name val="Calibri"/>
      <family val="2"/>
      <scheme val="minor"/>
    </font>
    <font>
      <sz val="12"/>
      <color theme="1"/>
      <name val="Times New Roman"/>
      <family val="1"/>
    </font>
    <font>
      <sz val="12"/>
      <color theme="1"/>
      <name val="Calibri"/>
      <family val="2"/>
      <scheme val="minor"/>
    </font>
    <font>
      <b/>
      <sz val="11"/>
      <name val="Calibri"/>
      <family val="2"/>
      <scheme val="minor"/>
    </font>
    <font>
      <sz val="12"/>
      <color theme="1"/>
      <name val="Calibri"/>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theme="0" tint="-0.14999847407452621"/>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diagonal/>
    </border>
    <border>
      <left style="thin">
        <color indexed="64"/>
      </left>
      <right style="thin">
        <color rgb="FF000000"/>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bottom style="medium">
        <color rgb="FFC1C1C1"/>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right style="thin">
        <color indexed="64"/>
      </right>
      <top style="thin">
        <color theme="1"/>
      </top>
      <bottom style="thin">
        <color theme="1"/>
      </bottom>
      <diagonal/>
    </border>
    <border>
      <left style="thin">
        <color indexed="64"/>
      </left>
      <right style="thick">
        <color indexed="64"/>
      </right>
      <top/>
      <bottom/>
      <diagonal/>
    </border>
    <border>
      <left style="thin">
        <color indexed="64"/>
      </left>
      <right style="thin">
        <color indexed="64"/>
      </right>
      <top/>
      <bottom style="medium">
        <color indexed="64"/>
      </bottom>
      <diagonal/>
    </border>
    <border>
      <left style="medium">
        <color rgb="FFC1C1C1"/>
      </left>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6" fillId="0" borderId="14" applyNumberFormat="0" applyFill="0" applyAlignment="0" applyProtection="0"/>
  </cellStyleXfs>
  <cellXfs count="292">
    <xf numFmtId="0" fontId="0" fillId="0" borderId="0" xfId="0"/>
    <xf numFmtId="0" fontId="4" fillId="0" borderId="0" xfId="3"/>
    <xf numFmtId="0" fontId="0" fillId="0" borderId="0" xfId="0" applyFont="1"/>
    <xf numFmtId="0" fontId="0" fillId="0" borderId="0" xfId="0" applyAlignment="1">
      <alignment wrapText="1"/>
    </xf>
    <xf numFmtId="0" fontId="0" fillId="0" borderId="0" xfId="0" applyAlignment="1">
      <alignment vertical="center"/>
    </xf>
    <xf numFmtId="0" fontId="0" fillId="0" borderId="0" xfId="0" applyAlignment="1"/>
    <xf numFmtId="0" fontId="0" fillId="0" borderId="0" xfId="0" applyAlignment="1">
      <alignment vertical="center" wrapText="1"/>
    </xf>
    <xf numFmtId="1" fontId="0" fillId="0" borderId="0" xfId="0" applyNumberFormat="1"/>
    <xf numFmtId="1" fontId="1" fillId="0" borderId="0" xfId="0" applyNumberFormat="1" applyFont="1" applyBorder="1" applyAlignment="1">
      <alignment vertical="center"/>
    </xf>
    <xf numFmtId="1" fontId="1" fillId="0" borderId="0" xfId="1" applyNumberFormat="1" applyFont="1" applyBorder="1" applyAlignment="1">
      <alignment horizontal="right"/>
    </xf>
    <xf numFmtId="1" fontId="1" fillId="0" borderId="0" xfId="2" applyNumberFormat="1" applyFont="1" applyBorder="1"/>
    <xf numFmtId="1" fontId="0" fillId="0" borderId="0" xfId="1" applyNumberFormat="1" applyFont="1" applyBorder="1" applyAlignment="1">
      <alignment horizontal="right"/>
    </xf>
    <xf numFmtId="1" fontId="2" fillId="0" borderId="0" xfId="2" applyNumberFormat="1" applyFont="1" applyBorder="1"/>
    <xf numFmtId="0" fontId="3" fillId="0" borderId="0" xfId="0" applyFont="1"/>
    <xf numFmtId="0" fontId="0" fillId="0" borderId="0" xfId="0" applyAlignment="1">
      <alignment horizontal="left"/>
    </xf>
    <xf numFmtId="49" fontId="7" fillId="0" borderId="0" xfId="0" applyNumberFormat="1" applyFont="1" applyFill="1" applyBorder="1" applyAlignment="1">
      <alignment horizontal="left"/>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xf numFmtId="0" fontId="8" fillId="0" borderId="5" xfId="0" applyFont="1" applyBorder="1" applyAlignment="1">
      <alignment horizontal="center" vertical="center" wrapText="1"/>
    </xf>
    <xf numFmtId="0" fontId="9" fillId="0" borderId="16" xfId="0" applyFont="1" applyFill="1" applyBorder="1" applyAlignment="1"/>
    <xf numFmtId="0" fontId="8" fillId="0" borderId="1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11" fillId="0" borderId="0" xfId="0" applyFont="1"/>
    <xf numFmtId="0" fontId="7" fillId="0" borderId="0" xfId="4" applyFont="1" applyFill="1" applyBorder="1" applyAlignment="1"/>
    <xf numFmtId="0" fontId="7" fillId="0" borderId="0" xfId="4" applyFont="1" applyFill="1" applyBorder="1"/>
    <xf numFmtId="0" fontId="0" fillId="0" borderId="0" xfId="0" applyFont="1" applyAlignment="1">
      <alignment wrapText="1"/>
    </xf>
    <xf numFmtId="0" fontId="0" fillId="0" borderId="0" xfId="0" applyAlignment="1">
      <alignment horizontal="left" vertical="center" wrapText="1"/>
    </xf>
    <xf numFmtId="0" fontId="5" fillId="0" borderId="0" xfId="0" applyFont="1"/>
    <xf numFmtId="0" fontId="12" fillId="0" borderId="0" xfId="0" applyFont="1"/>
    <xf numFmtId="0" fontId="9" fillId="0" borderId="13" xfId="0" applyFont="1" applyFill="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center"/>
    </xf>
    <xf numFmtId="0" fontId="8" fillId="0" borderId="19" xfId="0" applyFont="1" applyBorder="1" applyAlignment="1">
      <alignment horizontal="center" vertical="center" wrapText="1"/>
    </xf>
    <xf numFmtId="9" fontId="7" fillId="3" borderId="6" xfId="2" applyNumberFormat="1" applyFont="1" applyFill="1" applyBorder="1" applyAlignment="1">
      <alignment horizontal="right"/>
    </xf>
    <xf numFmtId="0" fontId="8" fillId="0" borderId="22" xfId="0" applyFont="1" applyBorder="1" applyAlignment="1">
      <alignment horizontal="center" vertical="center" wrapText="1"/>
    </xf>
    <xf numFmtId="0" fontId="12" fillId="0" borderId="0" xfId="0"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left" vertical="center"/>
    </xf>
    <xf numFmtId="0" fontId="0" fillId="0" borderId="0" xfId="0" applyFill="1" applyAlignment="1">
      <alignment vertical="center"/>
    </xf>
    <xf numFmtId="9" fontId="0" fillId="0" borderId="0" xfId="0" applyNumberFormat="1" applyAlignment="1"/>
    <xf numFmtId="0" fontId="0" fillId="0" borderId="0" xfId="0" applyFont="1" applyAlignment="1">
      <alignment vertical="center"/>
    </xf>
    <xf numFmtId="0" fontId="13" fillId="0" borderId="0" xfId="4" applyFont="1" applyFill="1" applyBorder="1" applyAlignment="1"/>
    <xf numFmtId="0" fontId="12" fillId="0" borderId="0" xfId="0" applyFont="1" applyAlignment="1"/>
    <xf numFmtId="0" fontId="8" fillId="0" borderId="0" xfId="4" applyFont="1" applyBorder="1"/>
    <xf numFmtId="0" fontId="12" fillId="0" borderId="0" xfId="0" applyFont="1" applyFill="1" applyAlignment="1">
      <alignment vertical="center" wrapText="1"/>
    </xf>
    <xf numFmtId="0" fontId="12" fillId="0" borderId="0" xfId="0" applyFont="1" applyFill="1" applyAlignment="1">
      <alignment horizontal="left" vertical="top"/>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Alignment="1"/>
    <xf numFmtId="0" fontId="8" fillId="0" borderId="20" xfId="0" applyFont="1" applyBorder="1" applyAlignment="1">
      <alignment horizontal="center" vertical="center" wrapText="1"/>
    </xf>
    <xf numFmtId="0" fontId="3" fillId="0" borderId="0" xfId="0" applyFont="1" applyAlignment="1"/>
    <xf numFmtId="9" fontId="7" fillId="0" borderId="6" xfId="2" applyNumberFormat="1" applyFont="1" applyFill="1" applyBorder="1" applyAlignment="1">
      <alignment horizontal="right"/>
    </xf>
    <xf numFmtId="9" fontId="7" fillId="0" borderId="2" xfId="2" applyNumberFormat="1" applyFont="1" applyFill="1" applyBorder="1" applyAlignment="1">
      <alignment horizontal="right"/>
    </xf>
    <xf numFmtId="0" fontId="8" fillId="0" borderId="6" xfId="0" applyFont="1" applyBorder="1" applyAlignment="1">
      <alignment horizontal="center" vertical="center" wrapText="1"/>
    </xf>
    <xf numFmtId="9" fontId="0" fillId="0" borderId="0" xfId="2" applyNumberFormat="1" applyFont="1"/>
    <xf numFmtId="49" fontId="3" fillId="0" borderId="0" xfId="0" applyNumberFormat="1" applyFont="1" applyFill="1" applyBorder="1"/>
    <xf numFmtId="164" fontId="12" fillId="0" borderId="0" xfId="1" applyNumberFormat="1" applyFont="1" applyBorder="1" applyAlignment="1">
      <alignment horizontal="right"/>
    </xf>
    <xf numFmtId="0" fontId="14" fillId="0" borderId="0" xfId="0" applyFont="1"/>
    <xf numFmtId="0" fontId="9" fillId="0" borderId="3" xfId="0" applyFont="1" applyBorder="1"/>
    <xf numFmtId="0" fontId="12" fillId="0" borderId="0" xfId="0" applyFont="1" applyBorder="1"/>
    <xf numFmtId="9" fontId="8" fillId="3" borderId="1" xfId="2" applyNumberFormat="1" applyFont="1" applyFill="1" applyBorder="1" applyAlignment="1">
      <alignment horizontal="right"/>
    </xf>
    <xf numFmtId="9" fontId="8" fillId="0" borderId="9" xfId="2" applyNumberFormat="1" applyFont="1" applyFill="1" applyBorder="1" applyAlignment="1">
      <alignment horizontal="right"/>
    </xf>
    <xf numFmtId="9" fontId="7" fillId="0" borderId="13" xfId="2" applyNumberFormat="1" applyFont="1" applyFill="1" applyBorder="1" applyAlignment="1">
      <alignment horizontal="right"/>
    </xf>
    <xf numFmtId="9" fontId="7" fillId="0" borderId="5" xfId="2" applyNumberFormat="1" applyFont="1" applyFill="1" applyBorder="1" applyAlignment="1">
      <alignment horizontal="right"/>
    </xf>
    <xf numFmtId="0" fontId="12" fillId="0" borderId="10" xfId="0" applyFont="1" applyBorder="1" applyAlignment="1">
      <alignment horizontal="left" vertical="center" wrapText="1"/>
    </xf>
    <xf numFmtId="164" fontId="12" fillId="0" borderId="26" xfId="1" applyNumberFormat="1" applyFont="1" applyFill="1" applyBorder="1" applyAlignment="1">
      <alignment horizontal="right"/>
    </xf>
    <xf numFmtId="0" fontId="9" fillId="0" borderId="1" xfId="0" applyFont="1" applyBorder="1" applyAlignment="1">
      <alignment horizontal="center" vertical="center" wrapText="1"/>
    </xf>
    <xf numFmtId="0" fontId="12" fillId="0" borderId="15" xfId="0" applyFont="1" applyBorder="1"/>
    <xf numFmtId="165" fontId="12" fillId="0" borderId="6" xfId="0" applyNumberFormat="1" applyFont="1" applyBorder="1" applyAlignment="1">
      <alignment horizontal="right"/>
    </xf>
    <xf numFmtId="0" fontId="12" fillId="0" borderId="9" xfId="0" applyFont="1" applyBorder="1"/>
    <xf numFmtId="165" fontId="12" fillId="0" borderId="2" xfId="0" applyNumberFormat="1" applyFont="1" applyBorder="1" applyAlignment="1">
      <alignment horizontal="right"/>
    </xf>
    <xf numFmtId="5" fontId="9" fillId="0" borderId="6" xfId="1" applyNumberFormat="1" applyFont="1" applyBorder="1" applyAlignment="1">
      <alignment horizontal="left"/>
    </xf>
    <xf numFmtId="5" fontId="9" fillId="0" borderId="2" xfId="1" applyNumberFormat="1" applyFont="1" applyBorder="1" applyAlignment="1">
      <alignment horizontal="left"/>
    </xf>
    <xf numFmtId="0" fontId="9" fillId="0" borderId="15" xfId="0" applyFont="1" applyBorder="1" applyAlignment="1">
      <alignment horizontal="center" vertical="center" wrapText="1"/>
    </xf>
    <xf numFmtId="49" fontId="12" fillId="0" borderId="0" xfId="1" applyNumberFormat="1" applyFont="1" applyBorder="1" applyAlignment="1">
      <alignment horizontal="left"/>
    </xf>
    <xf numFmtId="1" fontId="12" fillId="0" borderId="6" xfId="1" applyNumberFormat="1" applyFont="1" applyBorder="1" applyAlignment="1">
      <alignment horizontal="right"/>
    </xf>
    <xf numFmtId="1" fontId="12" fillId="0" borderId="0" xfId="1" applyNumberFormat="1" applyFont="1" applyBorder="1" applyAlignment="1">
      <alignment horizontal="right"/>
    </xf>
    <xf numFmtId="1" fontId="7" fillId="0" borderId="6" xfId="1" applyNumberFormat="1" applyFont="1" applyBorder="1" applyAlignment="1">
      <alignment horizontal="right"/>
    </xf>
    <xf numFmtId="1" fontId="12" fillId="0" borderId="15" xfId="1" applyNumberFormat="1" applyFont="1" applyBorder="1" applyAlignment="1">
      <alignment horizontal="right"/>
    </xf>
    <xf numFmtId="1" fontId="12" fillId="0" borderId="6" xfId="0" applyNumberFormat="1" applyFont="1" applyBorder="1" applyAlignment="1">
      <alignment horizontal="right"/>
    </xf>
    <xf numFmtId="49" fontId="12" fillId="0" borderId="0" xfId="0" applyNumberFormat="1" applyFont="1" applyBorder="1" applyAlignment="1">
      <alignment horizontal="left"/>
    </xf>
    <xf numFmtId="1" fontId="12" fillId="0" borderId="0" xfId="0" applyNumberFormat="1" applyFont="1" applyBorder="1" applyAlignment="1">
      <alignment horizontal="right"/>
    </xf>
    <xf numFmtId="49" fontId="12" fillId="0" borderId="0" xfId="1" applyNumberFormat="1" applyFont="1" applyFill="1" applyBorder="1" applyAlignment="1">
      <alignment horizontal="left"/>
    </xf>
    <xf numFmtId="1" fontId="12" fillId="0" borderId="6" xfId="1" applyNumberFormat="1" applyFont="1" applyFill="1" applyBorder="1" applyAlignment="1">
      <alignment horizontal="right"/>
    </xf>
    <xf numFmtId="1" fontId="12" fillId="0" borderId="0" xfId="1" applyNumberFormat="1" applyFont="1" applyFill="1" applyBorder="1" applyAlignment="1">
      <alignment horizontal="right"/>
    </xf>
    <xf numFmtId="49" fontId="12" fillId="0" borderId="0" xfId="0" applyNumberFormat="1" applyFont="1" applyFill="1" applyBorder="1" applyAlignment="1">
      <alignment horizontal="left"/>
    </xf>
    <xf numFmtId="49" fontId="9" fillId="0" borderId="25" xfId="1" applyNumberFormat="1" applyFont="1" applyBorder="1" applyAlignment="1">
      <alignment horizontal="left"/>
    </xf>
    <xf numFmtId="1" fontId="9" fillId="0" borderId="1" xfId="1" applyNumberFormat="1" applyFont="1" applyBorder="1" applyAlignment="1">
      <alignment horizontal="right"/>
    </xf>
    <xf numFmtId="1" fontId="9" fillId="0" borderId="25" xfId="1" applyNumberFormat="1" applyFont="1" applyBorder="1" applyAlignment="1">
      <alignment horizontal="right"/>
    </xf>
    <xf numFmtId="165" fontId="9" fillId="0" borderId="1" xfId="0" applyNumberFormat="1" applyFont="1" applyBorder="1" applyAlignment="1">
      <alignment horizontal="right"/>
    </xf>
    <xf numFmtId="166" fontId="7" fillId="0" borderId="6" xfId="2" applyNumberFormat="1" applyFont="1" applyFill="1" applyBorder="1" applyAlignment="1">
      <alignment horizontal="right"/>
    </xf>
    <xf numFmtId="166" fontId="7" fillId="3" borderId="6" xfId="2" applyNumberFormat="1" applyFont="1" applyFill="1" applyBorder="1" applyAlignment="1">
      <alignment horizontal="right"/>
    </xf>
    <xf numFmtId="1" fontId="7" fillId="2" borderId="24" xfId="0" applyNumberFormat="1" applyFont="1" applyFill="1" applyBorder="1" applyAlignment="1">
      <alignment horizontal="right" vertical="center"/>
    </xf>
    <xf numFmtId="9" fontId="8" fillId="0" borderId="1" xfId="0" applyNumberFormat="1" applyFont="1" applyFill="1" applyBorder="1" applyProtection="1">
      <protection locked="0"/>
    </xf>
    <xf numFmtId="9" fontId="7" fillId="0" borderId="6" xfId="0" applyNumberFormat="1" applyFont="1" applyFill="1" applyBorder="1" applyAlignment="1" applyProtection="1">
      <alignment horizontal="right"/>
      <protection locked="0"/>
    </xf>
    <xf numFmtId="0" fontId="11" fillId="0" borderId="0" xfId="0" applyFont="1" applyFill="1" applyAlignment="1">
      <alignment horizontal="left"/>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xf numFmtId="0" fontId="12" fillId="0" borderId="0" xfId="0" applyFont="1" applyFill="1" applyBorder="1" applyAlignment="1">
      <alignment horizontal="left"/>
    </xf>
    <xf numFmtId="0" fontId="0" fillId="0" borderId="0" xfId="0" applyFont="1" applyFill="1" applyAlignment="1">
      <alignment horizontal="right" wrapText="1"/>
    </xf>
    <xf numFmtId="9" fontId="0" fillId="0" borderId="0" xfId="0" applyNumberFormat="1" applyFont="1" applyFill="1" applyAlignment="1">
      <alignment horizontal="right" wrapText="1"/>
    </xf>
    <xf numFmtId="3" fontId="9" fillId="0" borderId="1" xfId="1" applyNumberFormat="1" applyFont="1" applyBorder="1" applyAlignment="1">
      <alignment horizontal="right"/>
    </xf>
    <xf numFmtId="3" fontId="9" fillId="0" borderId="7" xfId="1" applyNumberFormat="1" applyFont="1" applyBorder="1" applyAlignment="1">
      <alignment horizontal="right"/>
    </xf>
    <xf numFmtId="3" fontId="12" fillId="0" borderId="6" xfId="1" applyNumberFormat="1" applyFont="1" applyBorder="1" applyAlignment="1">
      <alignment horizontal="right"/>
    </xf>
    <xf numFmtId="3" fontId="12" fillId="0" borderId="2" xfId="1" applyNumberFormat="1" applyFont="1" applyBorder="1" applyAlignment="1">
      <alignment horizontal="right"/>
    </xf>
    <xf numFmtId="0" fontId="3" fillId="0" borderId="0" xfId="0" applyFont="1" applyFill="1" applyAlignment="1">
      <alignment horizontal="right"/>
    </xf>
    <xf numFmtId="0" fontId="3" fillId="0" borderId="0" xfId="0" applyFont="1" applyFill="1" applyAlignment="1">
      <alignment horizontal="right" wrapText="1"/>
    </xf>
    <xf numFmtId="0" fontId="9" fillId="0" borderId="12" xfId="0" applyFont="1" applyBorder="1" applyAlignment="1">
      <alignment horizontal="center" vertical="center" wrapText="1"/>
    </xf>
    <xf numFmtId="9" fontId="7" fillId="0" borderId="26" xfId="2" applyNumberFormat="1" applyFont="1" applyFill="1" applyBorder="1" applyAlignment="1">
      <alignment horizontal="right"/>
    </xf>
    <xf numFmtId="0" fontId="9" fillId="0" borderId="1" xfId="0" applyFont="1" applyFill="1" applyBorder="1" applyAlignment="1">
      <alignment horizontal="center" vertical="center"/>
    </xf>
    <xf numFmtId="0" fontId="12" fillId="0" borderId="0" xfId="4" applyFont="1" applyFill="1" applyBorder="1" applyAlignment="1" applyProtection="1">
      <protection locked="0"/>
    </xf>
    <xf numFmtId="0" fontId="12" fillId="0" borderId="0" xfId="4" applyFont="1" applyFill="1" applyBorder="1" applyProtection="1">
      <protection locked="0"/>
    </xf>
    <xf numFmtId="49" fontId="12" fillId="0" borderId="0" xfId="0" applyNumberFormat="1" applyFont="1" applyFill="1" applyBorder="1"/>
    <xf numFmtId="9" fontId="12" fillId="0" borderId="17" xfId="0" applyNumberFormat="1" applyFont="1" applyFill="1" applyBorder="1" applyProtection="1">
      <protection locked="0"/>
    </xf>
    <xf numFmtId="9" fontId="12" fillId="0" borderId="18" xfId="0" applyNumberFormat="1" applyFont="1" applyFill="1" applyBorder="1" applyProtection="1">
      <protection locked="0"/>
    </xf>
    <xf numFmtId="9" fontId="12" fillId="0" borderId="15" xfId="2" applyNumberFormat="1" applyFont="1" applyFill="1" applyBorder="1" applyAlignment="1">
      <alignment horizontal="right"/>
    </xf>
    <xf numFmtId="0" fontId="3" fillId="0" borderId="0" xfId="0" applyFont="1" applyFill="1" applyBorder="1" applyAlignment="1">
      <alignment horizontal="center" vertical="center" wrapText="1"/>
    </xf>
    <xf numFmtId="0" fontId="15" fillId="0" borderId="0" xfId="0" applyFont="1" applyAlignment="1">
      <alignment vertical="center"/>
    </xf>
    <xf numFmtId="0" fontId="0" fillId="0" borderId="0" xfId="0" applyFont="1" applyAlignment="1">
      <alignment horizontal="left" wrapText="1"/>
    </xf>
    <xf numFmtId="0" fontId="11" fillId="0" borderId="0" xfId="0" applyFont="1" applyFill="1"/>
    <xf numFmtId="0" fontId="11" fillId="0" borderId="0" xfId="0" applyFont="1" applyAlignment="1">
      <alignment horizontal="left"/>
    </xf>
    <xf numFmtId="0" fontId="16" fillId="0" borderId="0" xfId="0" applyFont="1"/>
    <xf numFmtId="0" fontId="9" fillId="0" borderId="28" xfId="0" applyFont="1" applyBorder="1"/>
    <xf numFmtId="0" fontId="9" fillId="0" borderId="8" xfId="0" applyFont="1" applyBorder="1"/>
    <xf numFmtId="0" fontId="17" fillId="0" borderId="8" xfId="3" applyFont="1" applyBorder="1"/>
    <xf numFmtId="0" fontId="12" fillId="0" borderId="8" xfId="0" applyFont="1" applyBorder="1"/>
    <xf numFmtId="0" fontId="17" fillId="0" borderId="8" xfId="3" applyFont="1" applyFill="1" applyBorder="1"/>
    <xf numFmtId="0" fontId="7" fillId="0" borderId="0" xfId="4" applyFont="1" applyFill="1" applyBorder="1" applyAlignment="1" applyProtection="1">
      <protection locked="0"/>
    </xf>
    <xf numFmtId="0" fontId="0" fillId="0" borderId="0" xfId="0" applyFill="1"/>
    <xf numFmtId="166" fontId="0" fillId="0" borderId="0" xfId="2" applyNumberFormat="1" applyFont="1"/>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12" fillId="0" borderId="0" xfId="1" applyNumberFormat="1" applyFont="1" applyFill="1" applyBorder="1" applyAlignment="1">
      <alignment horizontal="right"/>
    </xf>
    <xf numFmtId="0" fontId="12" fillId="0" borderId="0" xfId="0" applyFont="1" applyAlignment="1">
      <alignment wrapText="1"/>
    </xf>
    <xf numFmtId="9" fontId="12" fillId="0" borderId="0" xfId="2" applyFont="1"/>
    <xf numFmtId="2" fontId="12" fillId="0" borderId="0" xfId="0" applyNumberFormat="1" applyFont="1"/>
    <xf numFmtId="0" fontId="12" fillId="0" borderId="15" xfId="0" applyFont="1" applyBorder="1" applyAlignment="1">
      <alignment vertical="center"/>
    </xf>
    <xf numFmtId="0" fontId="12" fillId="0" borderId="0" xfId="0" applyNumberFormat="1" applyFont="1" applyBorder="1" applyAlignment="1">
      <alignment vertical="center"/>
    </xf>
    <xf numFmtId="9" fontId="7" fillId="0" borderId="0" xfId="2" applyNumberFormat="1" applyFont="1" applyFill="1" applyBorder="1" applyAlignment="1">
      <alignment horizontal="right"/>
    </xf>
    <xf numFmtId="165" fontId="12" fillId="0" borderId="10" xfId="0" applyNumberFormat="1" applyFont="1" applyBorder="1" applyAlignment="1">
      <alignment horizontal="right"/>
    </xf>
    <xf numFmtId="49" fontId="12" fillId="0" borderId="0" xfId="0" applyNumberFormat="1" applyFont="1" applyBorder="1" applyAlignment="1">
      <alignment horizontal="left" vertical="center"/>
    </xf>
    <xf numFmtId="0" fontId="12" fillId="0" borderId="0" xfId="0" applyFont="1" applyAlignment="1">
      <alignment vertical="center" wrapText="1"/>
    </xf>
    <xf numFmtId="0" fontId="12" fillId="0" borderId="0" xfId="0" applyFont="1" applyAlignment="1">
      <alignment horizontal="left"/>
    </xf>
    <xf numFmtId="0" fontId="9" fillId="0" borderId="9" xfId="0" applyFont="1" applyBorder="1" applyAlignment="1">
      <alignment horizontal="center" vertical="center" wrapText="1"/>
    </xf>
    <xf numFmtId="49" fontId="19" fillId="0" borderId="0" xfId="0" applyNumberFormat="1" applyFont="1" applyFill="1" applyBorder="1" applyAlignment="1">
      <alignment horizontal="left"/>
    </xf>
    <xf numFmtId="9" fontId="8" fillId="0" borderId="1" xfId="2" applyNumberFormat="1" applyFont="1" applyFill="1" applyBorder="1" applyAlignment="1">
      <alignment horizontal="right"/>
    </xf>
    <xf numFmtId="164" fontId="0" fillId="0" borderId="0" xfId="0" applyNumberFormat="1"/>
    <xf numFmtId="1" fontId="12" fillId="0" borderId="6" xfId="0" applyNumberFormat="1" applyFont="1" applyFill="1" applyBorder="1" applyAlignment="1">
      <alignment horizontal="right"/>
    </xf>
    <xf numFmtId="3" fontId="12" fillId="0" borderId="11" xfId="0" applyNumberFormat="1" applyFont="1" applyFill="1" applyBorder="1"/>
    <xf numFmtId="3" fontId="12" fillId="4" borderId="5" xfId="0" applyNumberFormat="1" applyFont="1" applyFill="1" applyBorder="1"/>
    <xf numFmtId="3" fontId="12" fillId="4" borderId="13" xfId="0" applyNumberFormat="1" applyFont="1" applyFill="1" applyBorder="1"/>
    <xf numFmtId="0" fontId="12" fillId="4" borderId="13" xfId="0" applyFont="1" applyFill="1" applyBorder="1"/>
    <xf numFmtId="0" fontId="3" fillId="0" borderId="0" xfId="0" applyFont="1" applyFill="1"/>
    <xf numFmtId="0" fontId="8" fillId="0" borderId="27" xfId="0" applyFont="1" applyFill="1" applyBorder="1" applyAlignment="1">
      <alignment horizontal="center" vertical="center" wrapText="1"/>
    </xf>
    <xf numFmtId="0" fontId="0" fillId="0" borderId="0" xfId="0" applyFont="1" applyFill="1"/>
    <xf numFmtId="0" fontId="0" fillId="0" borderId="0" xfId="0" applyFont="1" applyFill="1" applyBorder="1"/>
    <xf numFmtId="10" fontId="18" fillId="0" borderId="0" xfId="0" applyNumberFormat="1" applyFont="1" applyFill="1" applyBorder="1" applyAlignment="1">
      <alignment horizontal="right" vertical="center" wrapText="1"/>
    </xf>
    <xf numFmtId="0" fontId="5" fillId="0" borderId="0" xfId="0" applyFont="1" applyFill="1"/>
    <xf numFmtId="0" fontId="7" fillId="0" borderId="27" xfId="0" applyFont="1" applyFill="1" applyBorder="1" applyAlignment="1">
      <alignment horizontal="center" vertical="center" wrapText="1"/>
    </xf>
    <xf numFmtId="49" fontId="9" fillId="0" borderId="0" xfId="0" applyNumberFormat="1" applyFont="1" applyFill="1" applyBorder="1" applyAlignment="1">
      <alignment horizontal="left"/>
    </xf>
    <xf numFmtId="0" fontId="0" fillId="0" borderId="0" xfId="0" applyAlignment="1">
      <alignment horizontal="left" vertical="top" wrapText="1"/>
    </xf>
    <xf numFmtId="9" fontId="0" fillId="0" borderId="0" xfId="0" applyNumberFormat="1" applyAlignment="1">
      <alignment horizontal="left" vertical="top" wrapText="1"/>
    </xf>
    <xf numFmtId="0" fontId="0" fillId="0" borderId="0" xfId="0" applyFill="1" applyBorder="1"/>
    <xf numFmtId="5" fontId="9" fillId="0" borderId="8" xfId="1" applyNumberFormat="1" applyFont="1" applyBorder="1" applyAlignment="1">
      <alignment horizontal="left"/>
    </xf>
    <xf numFmtId="0" fontId="1" fillId="0" borderId="31" xfId="0" applyFont="1" applyBorder="1" applyAlignment="1">
      <alignment horizontal="left" vertical="top"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 fillId="0" borderId="0" xfId="0" applyFont="1" applyFill="1"/>
    <xf numFmtId="0" fontId="9" fillId="0" borderId="4" xfId="0" applyFont="1" applyBorder="1" applyAlignment="1"/>
    <xf numFmtId="9" fontId="8" fillId="0" borderId="3" xfId="0" applyNumberFormat="1" applyFont="1" applyFill="1" applyBorder="1" applyAlignment="1" applyProtection="1">
      <alignment horizontal="right"/>
      <protection locked="0"/>
    </xf>
    <xf numFmtId="9" fontId="8" fillId="0" borderId="2" xfId="0" applyNumberFormat="1" applyFont="1" applyFill="1" applyBorder="1" applyAlignment="1" applyProtection="1">
      <alignment horizontal="right"/>
      <protection locked="0"/>
    </xf>
    <xf numFmtId="9" fontId="7" fillId="0" borderId="5" xfId="0" applyNumberFormat="1" applyFont="1" applyFill="1" applyBorder="1" applyAlignment="1" applyProtection="1">
      <alignment horizontal="right"/>
      <protection locked="0"/>
    </xf>
    <xf numFmtId="9" fontId="7" fillId="0" borderId="2" xfId="0" applyNumberFormat="1" applyFont="1" applyFill="1" applyBorder="1" applyAlignment="1" applyProtection="1">
      <alignment horizontal="right"/>
      <protection locked="0"/>
    </xf>
    <xf numFmtId="9" fontId="7" fillId="0" borderId="9" xfId="0" applyNumberFormat="1" applyFont="1" applyFill="1" applyBorder="1" applyAlignment="1" applyProtection="1">
      <alignment horizontal="right"/>
      <protection locked="0"/>
    </xf>
    <xf numFmtId="10" fontId="0" fillId="0" borderId="0" xfId="0" applyNumberFormat="1"/>
    <xf numFmtId="49" fontId="12" fillId="0" borderId="8" xfId="0" applyNumberFormat="1" applyFont="1" applyFill="1" applyBorder="1" applyAlignment="1">
      <alignment horizontal="left"/>
    </xf>
    <xf numFmtId="0" fontId="12" fillId="0" borderId="0" xfId="0" applyFont="1" applyAlignment="1">
      <alignment vertical="top" wrapText="1"/>
    </xf>
    <xf numFmtId="0" fontId="9" fillId="0" borderId="1" xfId="0" applyFont="1" applyFill="1" applyBorder="1" applyAlignment="1">
      <alignment horizontal="center" wrapText="1"/>
    </xf>
    <xf numFmtId="3" fontId="12" fillId="0" borderId="17" xfId="1" applyNumberFormat="1" applyFont="1" applyBorder="1" applyAlignment="1">
      <alignment horizontal="right"/>
    </xf>
    <xf numFmtId="3" fontId="12" fillId="0" borderId="15" xfId="1" applyNumberFormat="1" applyFont="1" applyBorder="1" applyAlignment="1">
      <alignment horizontal="right"/>
    </xf>
    <xf numFmtId="3" fontId="9" fillId="0" borderId="3" xfId="1" applyNumberFormat="1" applyFont="1" applyBorder="1"/>
    <xf numFmtId="49" fontId="21" fillId="0" borderId="0" xfId="0" applyNumberFormat="1" applyFont="1" applyFill="1" applyBorder="1" applyAlignment="1">
      <alignment horizontal="left"/>
    </xf>
    <xf numFmtId="0" fontId="9" fillId="0" borderId="3" xfId="0" applyFont="1" applyBorder="1" applyAlignment="1"/>
    <xf numFmtId="0" fontId="12" fillId="0" borderId="5" xfId="0" applyFont="1" applyBorder="1" applyAlignment="1">
      <alignment horizontal="right" vertical="top" wrapText="1"/>
    </xf>
    <xf numFmtId="0" fontId="12" fillId="0" borderId="6" xfId="0" applyFont="1" applyBorder="1" applyAlignment="1">
      <alignment horizontal="right" vertical="top" wrapText="1"/>
    </xf>
    <xf numFmtId="9" fontId="12" fillId="0" borderId="0" xfId="0" applyNumberFormat="1" applyFont="1" applyAlignment="1">
      <alignment horizontal="right" wrapText="1"/>
    </xf>
    <xf numFmtId="9" fontId="9" fillId="0" borderId="2" xfId="0" applyNumberFormat="1" applyFont="1" applyFill="1" applyBorder="1" applyAlignment="1" applyProtection="1">
      <alignment horizontal="right"/>
      <protection locked="0"/>
    </xf>
    <xf numFmtId="0" fontId="9" fillId="0" borderId="6" xfId="0" applyFont="1" applyBorder="1" applyAlignment="1">
      <alignment horizontal="center" vertical="center" wrapText="1"/>
    </xf>
    <xf numFmtId="0" fontId="12" fillId="0" borderId="6" xfId="0" applyFont="1" applyBorder="1" applyAlignment="1">
      <alignment horizontal="right" wrapText="1"/>
    </xf>
    <xf numFmtId="9" fontId="12" fillId="0" borderId="6" xfId="0" applyNumberFormat="1" applyFont="1" applyBorder="1" applyAlignment="1">
      <alignment horizontal="right" wrapText="1"/>
    </xf>
    <xf numFmtId="9" fontId="12" fillId="0" borderId="8" xfId="0" applyNumberFormat="1" applyFont="1" applyBorder="1" applyAlignment="1">
      <alignment horizontal="right" wrapText="1"/>
    </xf>
    <xf numFmtId="0" fontId="12" fillId="0" borderId="2" xfId="0" applyFont="1" applyBorder="1" applyAlignment="1">
      <alignment horizontal="right" wrapText="1"/>
    </xf>
    <xf numFmtId="9" fontId="12" fillId="0" borderId="2" xfId="0" applyNumberFormat="1" applyFont="1" applyBorder="1" applyAlignment="1">
      <alignment horizontal="right" wrapText="1"/>
    </xf>
    <xf numFmtId="9" fontId="12" fillId="0" borderId="12" xfId="0" applyNumberFormat="1" applyFont="1" applyBorder="1" applyAlignment="1">
      <alignment horizontal="right" wrapText="1"/>
    </xf>
    <xf numFmtId="9" fontId="9" fillId="0" borderId="1" xfId="0" applyNumberFormat="1" applyFont="1" applyBorder="1" applyAlignment="1">
      <alignment horizontal="right" wrapText="1"/>
    </xf>
    <xf numFmtId="9" fontId="9" fillId="0" borderId="4" xfId="0" applyNumberFormat="1" applyFont="1" applyBorder="1" applyAlignment="1">
      <alignment horizontal="right" wrapText="1"/>
    </xf>
    <xf numFmtId="0" fontId="12" fillId="0" borderId="0" xfId="0" applyFont="1" applyAlignment="1">
      <alignment horizontal="right" wrapText="1"/>
    </xf>
    <xf numFmtId="0" fontId="12" fillId="0" borderId="2" xfId="0" applyFont="1" applyBorder="1" applyAlignment="1">
      <alignment horizontal="right" vertical="top" wrapText="1"/>
    </xf>
    <xf numFmtId="0" fontId="12" fillId="0" borderId="12" xfId="0" applyFont="1" applyBorder="1" applyAlignment="1">
      <alignment horizontal="right" wrapText="1"/>
    </xf>
    <xf numFmtId="3" fontId="12" fillId="0" borderId="8" xfId="1" applyNumberFormat="1" applyFont="1" applyBorder="1" applyAlignment="1">
      <alignment horizontal="right"/>
    </xf>
    <xf numFmtId="49" fontId="12" fillId="0" borderId="6" xfId="0" applyNumberFormat="1" applyFont="1" applyFill="1" applyBorder="1" applyAlignment="1">
      <alignment horizontal="left"/>
    </xf>
    <xf numFmtId="49" fontId="12" fillId="0" borderId="2" xfId="0" applyNumberFormat="1" applyFont="1" applyFill="1" applyBorder="1" applyAlignment="1">
      <alignment horizontal="left"/>
    </xf>
    <xf numFmtId="3" fontId="12" fillId="0" borderId="6" xfId="1" applyNumberFormat="1" applyFont="1" applyBorder="1" applyAlignment="1">
      <alignment horizontal="right" wrapText="1"/>
    </xf>
    <xf numFmtId="3" fontId="12" fillId="0" borderId="8" xfId="1" applyNumberFormat="1" applyFont="1" applyBorder="1" applyAlignment="1">
      <alignment horizontal="right" wrapText="1"/>
    </xf>
    <xf numFmtId="0" fontId="9" fillId="0" borderId="1" xfId="0" applyFont="1" applyBorder="1" applyAlignment="1">
      <alignment vertical="center"/>
    </xf>
    <xf numFmtId="49" fontId="7" fillId="0" borderId="8" xfId="0" applyNumberFormat="1" applyFont="1" applyFill="1" applyBorder="1"/>
    <xf numFmtId="49" fontId="7" fillId="0" borderId="8" xfId="0" applyNumberFormat="1" applyFont="1" applyFill="1" applyBorder="1" applyAlignment="1">
      <alignment horizontal="left"/>
    </xf>
    <xf numFmtId="0" fontId="8" fillId="0" borderId="25"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9" fontId="8" fillId="0" borderId="4" xfId="0" applyNumberFormat="1" applyFont="1" applyFill="1" applyBorder="1" applyProtection="1">
      <protection locked="0"/>
    </xf>
    <xf numFmtId="0" fontId="12" fillId="0" borderId="1" xfId="0" applyFont="1" applyBorder="1" applyAlignment="1">
      <alignment horizontal="right" wrapText="1"/>
    </xf>
    <xf numFmtId="9" fontId="12" fillId="0" borderId="1" xfId="0" applyNumberFormat="1" applyFont="1" applyBorder="1" applyAlignment="1">
      <alignment horizontal="right"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9" fontId="12" fillId="0" borderId="4" xfId="0" applyNumberFormat="1" applyFont="1" applyBorder="1" applyAlignment="1">
      <alignment horizontal="right" wrapText="1"/>
    </xf>
    <xf numFmtId="0" fontId="9" fillId="0" borderId="12" xfId="0"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8" xfId="0" applyNumberFormat="1" applyFont="1" applyFill="1" applyBorder="1" applyAlignment="1">
      <alignment horizontal="left" vertical="center" wrapText="1"/>
    </xf>
    <xf numFmtId="49" fontId="21" fillId="0" borderId="8" xfId="0" applyNumberFormat="1"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9" fontId="7" fillId="0" borderId="10" xfId="2" applyNumberFormat="1" applyFont="1" applyFill="1" applyBorder="1" applyAlignment="1">
      <alignment horizontal="right"/>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2" xfId="0" applyFont="1" applyBorder="1" applyAlignment="1">
      <alignment horizontal="center" vertical="center" wrapText="1"/>
    </xf>
    <xf numFmtId="9" fontId="7" fillId="0" borderId="32" xfId="2" applyNumberFormat="1" applyFont="1" applyFill="1" applyBorder="1" applyAlignment="1">
      <alignment horizontal="right"/>
    </xf>
    <xf numFmtId="0" fontId="8" fillId="0" borderId="11" xfId="0" applyFont="1" applyFill="1" applyBorder="1" applyAlignment="1">
      <alignment horizontal="center" vertical="center" wrapText="1"/>
    </xf>
    <xf numFmtId="0" fontId="12" fillId="0" borderId="21" xfId="0" applyFont="1" applyBorder="1" applyAlignment="1">
      <alignment horizontal="right" wrapText="1"/>
    </xf>
    <xf numFmtId="164" fontId="12" fillId="0" borderId="10" xfId="1" applyNumberFormat="1" applyFont="1" applyFill="1" applyBorder="1" applyAlignment="1">
      <alignment horizontal="right"/>
    </xf>
    <xf numFmtId="9" fontId="7" fillId="0" borderId="1" xfId="2" applyNumberFormat="1" applyFont="1" applyFill="1" applyBorder="1" applyAlignment="1">
      <alignment horizontal="right"/>
    </xf>
    <xf numFmtId="9" fontId="12" fillId="0" borderId="29" xfId="0" applyNumberFormat="1" applyFont="1" applyBorder="1" applyAlignment="1">
      <alignment horizontal="right" wrapText="1"/>
    </xf>
    <xf numFmtId="9" fontId="9" fillId="0" borderId="33" xfId="0" applyNumberFormat="1" applyFont="1" applyBorder="1" applyAlignment="1">
      <alignment horizontal="right" wrapText="1"/>
    </xf>
    <xf numFmtId="9" fontId="12" fillId="0" borderId="32" xfId="0" applyNumberFormat="1" applyFont="1" applyBorder="1" applyAlignment="1">
      <alignment horizontal="right" wrapText="1"/>
    </xf>
    <xf numFmtId="9" fontId="12" fillId="0" borderId="34" xfId="0" applyNumberFormat="1" applyFont="1" applyBorder="1" applyAlignment="1">
      <alignment horizontal="right" wrapText="1"/>
    </xf>
    <xf numFmtId="0" fontId="9" fillId="0" borderId="22" xfId="0" applyFont="1" applyBorder="1" applyAlignment="1">
      <alignment horizontal="right" wrapText="1"/>
    </xf>
    <xf numFmtId="167" fontId="0" fillId="0" borderId="0" xfId="0" applyNumberFormat="1" applyAlignment="1">
      <alignment horizontal="left" vertical="top" wrapText="1"/>
    </xf>
    <xf numFmtId="9" fontId="0" fillId="0" borderId="0" xfId="1" applyNumberFormat="1" applyFont="1" applyAlignment="1">
      <alignment horizontal="left" vertical="top" wrapText="1"/>
    </xf>
    <xf numFmtId="168" fontId="12" fillId="0" borderId="0" xfId="0" applyNumberFormat="1" applyFont="1" applyAlignment="1">
      <alignment horizontal="right" wrapText="1"/>
    </xf>
    <xf numFmtId="167" fontId="12" fillId="0" borderId="0" xfId="0" applyNumberFormat="1" applyFont="1" applyAlignment="1">
      <alignment horizontal="right" wrapText="1"/>
    </xf>
    <xf numFmtId="167" fontId="9" fillId="0" borderId="12" xfId="0" applyNumberFormat="1" applyFont="1" applyBorder="1" applyAlignment="1">
      <alignment horizontal="right" wrapText="1"/>
    </xf>
    <xf numFmtId="5" fontId="9" fillId="0" borderId="3" xfId="1" applyNumberFormat="1" applyFont="1" applyBorder="1" applyAlignment="1">
      <alignment horizontal="left"/>
    </xf>
    <xf numFmtId="5" fontId="12" fillId="0" borderId="15" xfId="1" applyNumberFormat="1" applyFont="1" applyBorder="1" applyAlignment="1">
      <alignment horizontal="left" vertical="center"/>
    </xf>
    <xf numFmtId="5" fontId="12" fillId="0" borderId="15" xfId="1" applyNumberFormat="1" applyFont="1" applyBorder="1" applyAlignment="1">
      <alignment horizontal="left"/>
    </xf>
    <xf numFmtId="49" fontId="12" fillId="0" borderId="15" xfId="1" applyNumberFormat="1" applyFont="1" applyFill="1" applyBorder="1" applyAlignment="1">
      <alignment horizontal="left"/>
    </xf>
    <xf numFmtId="49" fontId="12" fillId="0" borderId="35" xfId="0" applyNumberFormat="1" applyFont="1" applyFill="1" applyBorder="1" applyAlignment="1">
      <alignment horizontal="left"/>
    </xf>
    <xf numFmtId="5" fontId="9" fillId="0" borderId="17" xfId="1" applyNumberFormat="1" applyFont="1" applyBorder="1" applyAlignment="1">
      <alignment horizontal="left"/>
    </xf>
    <xf numFmtId="168" fontId="12" fillId="0" borderId="35" xfId="0" applyNumberFormat="1" applyFont="1" applyBorder="1" applyAlignment="1">
      <alignment horizontal="right" wrapText="1"/>
    </xf>
    <xf numFmtId="0" fontId="7" fillId="0" borderId="0" xfId="0" applyFont="1" applyAlignment="1">
      <alignment vertical="center"/>
    </xf>
    <xf numFmtId="166" fontId="8" fillId="0" borderId="1" xfId="2" applyNumberFormat="1" applyFont="1" applyFill="1" applyBorder="1" applyAlignment="1">
      <alignment horizontal="right"/>
    </xf>
    <xf numFmtId="1" fontId="12" fillId="0" borderId="6" xfId="0" applyNumberFormat="1" applyFont="1" applyBorder="1"/>
    <xf numFmtId="1" fontId="12" fillId="0" borderId="0" xfId="0" applyNumberFormat="1" applyFont="1" applyBorder="1"/>
    <xf numFmtId="1" fontId="12" fillId="0" borderId="0" xfId="1" applyNumberFormat="1" applyFont="1" applyBorder="1"/>
    <xf numFmtId="1" fontId="12" fillId="0" borderId="6" xfId="1" applyNumberFormat="1" applyFont="1" applyBorder="1"/>
    <xf numFmtId="1" fontId="12" fillId="0" borderId="6" xfId="0" applyNumberFormat="1" applyFont="1" applyFill="1" applyBorder="1"/>
    <xf numFmtId="166" fontId="7" fillId="0" borderId="0" xfId="2" applyNumberFormat="1" applyFont="1" applyFill="1" applyBorder="1" applyAlignment="1">
      <alignment horizontal="right"/>
    </xf>
    <xf numFmtId="166" fontId="12" fillId="0" borderId="0" xfId="2" applyNumberFormat="1" applyFont="1" applyFill="1"/>
    <xf numFmtId="49" fontId="12" fillId="0" borderId="0" xfId="0" applyNumberFormat="1" applyFont="1" applyAlignment="1">
      <alignment horizontal="left"/>
    </xf>
    <xf numFmtId="166" fontId="12" fillId="0" borderId="15" xfId="2" applyNumberFormat="1" applyFont="1" applyFill="1" applyBorder="1"/>
    <xf numFmtId="3" fontId="12" fillId="0" borderId="6" xfId="1" applyNumberFormat="1" applyFont="1" applyFill="1" applyBorder="1" applyAlignment="1">
      <alignment horizontal="right"/>
    </xf>
    <xf numFmtId="9" fontId="12" fillId="0" borderId="0" xfId="0" applyNumberFormat="1" applyFont="1" applyFill="1" applyAlignment="1">
      <alignment horizontal="right" wrapText="1"/>
    </xf>
    <xf numFmtId="9" fontId="12" fillId="0" borderId="6" xfId="0" applyNumberFormat="1" applyFont="1" applyFill="1" applyBorder="1" applyAlignment="1">
      <alignment horizontal="right" wrapText="1"/>
    </xf>
    <xf numFmtId="3" fontId="12" fillId="0" borderId="8" xfId="1" applyNumberFormat="1" applyFont="1" applyFill="1" applyBorder="1" applyAlignment="1">
      <alignment horizontal="right"/>
    </xf>
    <xf numFmtId="9" fontId="12" fillId="0" borderId="29" xfId="0" applyNumberFormat="1" applyFont="1" applyFill="1" applyBorder="1" applyAlignment="1">
      <alignment horizontal="right" wrapText="1"/>
    </xf>
    <xf numFmtId="9" fontId="0" fillId="0" borderId="0" xfId="0" applyNumberFormat="1" applyFill="1" applyAlignment="1">
      <alignment horizontal="left" vertical="top" wrapText="1"/>
    </xf>
    <xf numFmtId="0" fontId="0" fillId="0" borderId="0" xfId="0" applyFill="1" applyAlignment="1">
      <alignment horizontal="left" vertical="top" wrapText="1"/>
    </xf>
    <xf numFmtId="167" fontId="0" fillId="0" borderId="0" xfId="0" applyNumberFormat="1" applyFill="1" applyAlignment="1">
      <alignment horizontal="left" vertical="top" wrapText="1"/>
    </xf>
    <xf numFmtId="3" fontId="12" fillId="0" borderId="6" xfId="0" applyNumberFormat="1" applyFont="1" applyBorder="1" applyAlignment="1">
      <alignment horizontal="right" vertical="top" wrapText="1"/>
    </xf>
    <xf numFmtId="3" fontId="12" fillId="0" borderId="30" xfId="0" applyNumberFormat="1" applyFont="1" applyBorder="1" applyAlignment="1">
      <alignment horizontal="right" vertical="top" wrapText="1"/>
    </xf>
    <xf numFmtId="3" fontId="9" fillId="0" borderId="1" xfId="0" applyNumberFormat="1" applyFont="1" applyBorder="1" applyAlignment="1">
      <alignment horizontal="right" vertical="top" wrapText="1"/>
    </xf>
    <xf numFmtId="3" fontId="9" fillId="0" borderId="1" xfId="0" applyNumberFormat="1" applyFont="1" applyBorder="1" applyAlignment="1">
      <alignment horizontal="right" wrapText="1"/>
    </xf>
    <xf numFmtId="3" fontId="9" fillId="0" borderId="4" xfId="0" applyNumberFormat="1" applyFont="1" applyBorder="1" applyAlignment="1">
      <alignment horizontal="right" wrapText="1"/>
    </xf>
    <xf numFmtId="3" fontId="9" fillId="0" borderId="7" xfId="0" applyNumberFormat="1" applyFont="1" applyBorder="1" applyAlignment="1">
      <alignment horizontal="right" wrapText="1"/>
    </xf>
    <xf numFmtId="3" fontId="9" fillId="0" borderId="33" xfId="0" applyNumberFormat="1" applyFont="1" applyBorder="1" applyAlignment="1">
      <alignment horizontal="right" wrapText="1"/>
    </xf>
    <xf numFmtId="3" fontId="9" fillId="0" borderId="12" xfId="0" applyNumberFormat="1" applyFont="1" applyBorder="1" applyAlignment="1">
      <alignment horizontal="right" wrapText="1"/>
    </xf>
    <xf numFmtId="3" fontId="9" fillId="0" borderId="2" xfId="0" applyNumberFormat="1" applyFont="1" applyBorder="1" applyAlignment="1">
      <alignment horizontal="right" wrapText="1"/>
    </xf>
    <xf numFmtId="3" fontId="12" fillId="0" borderId="6" xfId="0" applyNumberFormat="1" applyFont="1" applyBorder="1" applyAlignment="1">
      <alignment horizontal="right" wrapText="1"/>
    </xf>
    <xf numFmtId="3" fontId="12" fillId="0" borderId="8" xfId="0" applyNumberFormat="1" applyFont="1" applyBorder="1" applyAlignment="1">
      <alignment horizontal="right" wrapText="1"/>
    </xf>
    <xf numFmtId="3" fontId="12" fillId="0" borderId="0" xfId="0" applyNumberFormat="1" applyFont="1" applyAlignment="1">
      <alignment horizontal="right" wrapText="1"/>
    </xf>
    <xf numFmtId="3" fontId="12" fillId="0" borderId="29" xfId="0" applyNumberFormat="1" applyFont="1" applyBorder="1" applyAlignment="1">
      <alignment horizontal="right" wrapText="1"/>
    </xf>
    <xf numFmtId="3" fontId="12" fillId="0" borderId="21" xfId="0" applyNumberFormat="1" applyFont="1" applyBorder="1" applyAlignment="1">
      <alignment horizontal="right" wrapText="1"/>
    </xf>
    <xf numFmtId="3" fontId="12" fillId="0" borderId="2" xfId="0" applyNumberFormat="1" applyFont="1" applyBorder="1" applyAlignment="1">
      <alignment horizontal="right" wrapText="1"/>
    </xf>
    <xf numFmtId="3" fontId="12" fillId="0" borderId="12" xfId="0" applyNumberFormat="1" applyFont="1" applyBorder="1" applyAlignment="1">
      <alignment horizontal="right" wrapText="1"/>
    </xf>
    <xf numFmtId="3" fontId="12" fillId="0" borderId="34" xfId="0" applyNumberFormat="1" applyFont="1" applyBorder="1" applyAlignment="1">
      <alignment horizontal="right" wrapText="1"/>
    </xf>
    <xf numFmtId="2" fontId="0" fillId="0" borderId="0" xfId="0" applyNumberFormat="1" applyAlignment="1"/>
    <xf numFmtId="3" fontId="12" fillId="0" borderId="30" xfId="0" applyNumberFormat="1" applyFont="1" applyBorder="1" applyAlignment="1">
      <alignment horizontal="right" wrapText="1"/>
    </xf>
    <xf numFmtId="49" fontId="3" fillId="0" borderId="0" xfId="0" applyNumberFormat="1" applyFont="1" applyFill="1" applyBorder="1" applyAlignment="1">
      <alignment horizontal="center" vertical="center"/>
    </xf>
    <xf numFmtId="0" fontId="3" fillId="0" borderId="0" xfId="0" applyFont="1" applyAlignment="1">
      <alignment horizontal="center"/>
    </xf>
  </cellXfs>
  <cellStyles count="5">
    <cellStyle name="Comma" xfId="1" builtinId="3"/>
    <cellStyle name="Heading 1" xfId="4" builtinId="16"/>
    <cellStyle name="Hyperlink" xfId="3" builtinId="8"/>
    <cellStyle name="Normal" xfId="0" builtinId="0"/>
    <cellStyle name="Percent" xfId="2" builtinId="5"/>
  </cellStyles>
  <dxfs count="117">
    <dxf>
      <font>
        <strike val="0"/>
        <outline val="0"/>
        <shadow val="0"/>
        <u val="none"/>
        <sz val="12"/>
        <color auto="1"/>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font>
      <numFmt numFmtId="1" formatCode="0"/>
      <alignment horizontal="right"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font>
      <numFmt numFmtId="1" formatCode="0"/>
      <alignment horizontal="right" textRotation="0" wrapText="0" indent="0" justifyLastLine="0" shrinkToFit="0" readingOrder="0"/>
    </dxf>
    <dxf>
      <font>
        <strike val="0"/>
        <outline val="0"/>
        <shadow val="0"/>
        <u val="none"/>
        <sz val="12"/>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font>
      <numFmt numFmtId="1" formatCode="0"/>
      <alignment horizontal="right" vertical="bottom" textRotation="0" wrapText="0" indent="0" justifyLastLine="0" shrinkToFit="0" readingOrder="0"/>
    </dxf>
    <dxf>
      <font>
        <strike val="0"/>
        <outline val="0"/>
        <shadow val="0"/>
        <u val="none"/>
        <sz val="12"/>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font>
      <numFmt numFmtId="166" formatCode="0.0%"/>
      <fill>
        <patternFill patternType="none">
          <fgColor indexed="64"/>
          <bgColor indexed="65"/>
        </patternFill>
      </fill>
      <alignment horizontal="right" textRotation="0" wrapText="0" indent="0" justifyLastLine="0" shrinkToFit="0" readingOrder="0"/>
      <border diagonalUp="0" diagonalDown="0">
        <left style="thin">
          <color indexed="64"/>
        </left>
        <right/>
        <top/>
        <bottom/>
        <vertical/>
        <horizontal/>
      </border>
    </dxf>
    <dxf>
      <font>
        <strike val="0"/>
        <outline val="0"/>
        <shadow val="0"/>
        <u val="none"/>
        <sz val="12"/>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font>
      <numFmt numFmtId="30" formatCode="@"/>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strike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outline="0">
        <left style="thin">
          <color indexed="64"/>
        </left>
        <right style="thin">
          <color indexed="64"/>
        </right>
        <top/>
        <bottom/>
      </border>
    </dxf>
    <dxf>
      <border outline="0">
        <right style="thin">
          <color indexed="64"/>
        </right>
        <bottom style="thin">
          <color indexed="64"/>
        </bottom>
      </border>
    </dxf>
    <dxf>
      <font>
        <strike val="0"/>
        <outline val="0"/>
        <shadow val="0"/>
        <u val="none"/>
        <sz val="12"/>
        <name val="Calibri"/>
        <scheme val="minor"/>
      </font>
    </dxf>
    <dxf>
      <font>
        <strike val="0"/>
        <outline val="0"/>
        <shadow val="0"/>
        <u val="none"/>
        <sz val="12"/>
        <name val="Calibri"/>
        <scheme val="minor"/>
      </font>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5" formatCode="&quot;£&quot;#,##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numFmt numFmtId="3" formatCode="#,##0"/>
      <border diagonalUp="0" diagonalDown="0">
        <left style="thin">
          <color indexed="64"/>
        </left>
        <right/>
        <top/>
        <bottom/>
      </border>
    </dxf>
    <dxf>
      <font>
        <strike val="0"/>
        <outline val="0"/>
        <shadow val="0"/>
        <u val="none"/>
        <sz val="12"/>
        <name val="Calibri"/>
        <scheme val="minor"/>
      </font>
      <border diagonalUp="0" diagonalDown="0" outline="0">
        <left style="thin">
          <color indexed="64"/>
        </left>
        <right style="thin">
          <color indexed="64"/>
        </right>
        <top/>
        <bottom/>
      </border>
    </dxf>
    <dxf>
      <font>
        <strike val="0"/>
        <outline val="0"/>
        <shadow val="0"/>
        <u val="none"/>
        <sz val="12"/>
        <name val="Calibri"/>
        <scheme val="minor"/>
      </font>
    </dxf>
    <dxf>
      <font>
        <strike val="0"/>
        <outline val="0"/>
        <shadow val="0"/>
        <u val="none"/>
        <sz val="12"/>
        <name val="Calibri"/>
        <scheme val="minor"/>
      </font>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solid">
          <fgColor indexed="64"/>
          <bgColor rgb="FFFFFFFF"/>
        </patternFill>
      </fill>
      <alignment horizontal="right" vertical="center"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alignment horizontal="left" vertical="center" textRotation="0" wrapText="1" indent="0" justifyLastLine="0" shrinkToFit="0" readingOrder="0"/>
    </dxf>
    <dxf>
      <border outline="0">
        <left style="thin">
          <color indexed="64"/>
        </left>
        <top style="thin">
          <color indexed="64"/>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9" formatCode="#,##0_ ;\-#,##0\ "/>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right style="thin">
          <color rgb="FF000000"/>
        </right>
        <top style="thin">
          <color rgb="FF000000"/>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numFmt numFmtId="3" formatCode="#,##0"/>
      <alignment horizontal="left"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2"/>
        <name val="Calibri"/>
        <scheme val="minor"/>
      </font>
      <numFmt numFmtId="0" formatCode="Genera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color theme="1"/>
        <name val="Calibri"/>
        <scheme val="minor"/>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vertAlign val="baseline"/>
        <sz val="12"/>
        <name val="Calibri"/>
        <scheme val="minor"/>
      </font>
      <border diagonalUp="0" diagonalDown="0" outline="0">
        <left/>
        <right style="thin">
          <color indexed="64"/>
        </right>
        <top style="thin">
          <color auto="1"/>
        </top>
        <bottom style="thin">
          <color auto="1"/>
        </bottom>
      </border>
    </dxf>
    <dxf>
      <font>
        <strike val="0"/>
        <outline val="0"/>
        <shadow val="0"/>
        <vertAlign val="baseline"/>
        <sz val="12"/>
        <name val="Calibri"/>
        <scheme val="minor"/>
      </font>
      <border diagonalUp="0" diagonalDown="0" outline="0">
        <left/>
        <right style="thin">
          <color indexed="64"/>
        </right>
        <top/>
        <bottom/>
      </border>
    </dxf>
    <dxf>
      <font>
        <strike val="0"/>
        <outline val="0"/>
        <shadow val="0"/>
        <vertAlign val="baseline"/>
        <sz val="12"/>
        <name val="Calibri"/>
        <scheme val="minor"/>
      </font>
    </dxf>
    <dxf>
      <font>
        <strike val="0"/>
        <outline val="0"/>
        <shadow val="0"/>
        <vertAlign val="baseline"/>
        <sz val="12"/>
        <name val="Calibri"/>
        <scheme val="minor"/>
      </font>
    </dxf>
  </dxfs>
  <tableStyles count="0" defaultTableStyle="TableStyleMedium2" defaultPivotStyle="PivotStyleLight16"/>
  <colors>
    <mruColors>
      <color rgb="FF251B5B"/>
      <color rgb="FF201751"/>
      <color rgb="FFE6007E"/>
      <color rgb="FF756A93"/>
      <color rgb="FFB4A9D4"/>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451827</xdr:colOff>
      <xdr:row>32</xdr:row>
      <xdr:rowOff>80332</xdr:rowOff>
    </xdr:to>
    <xdr:grpSp>
      <xdr:nvGrpSpPr>
        <xdr:cNvPr id="2" name="Group 1">
          <a:extLst>
            <a:ext uri="{FF2B5EF4-FFF2-40B4-BE49-F238E27FC236}">
              <a16:creationId xmlns:a16="http://schemas.microsoft.com/office/drawing/2014/main" id="{EE4ACAD3-7A98-A5E6-3891-6F0560850295}"/>
            </a:ext>
          </a:extLst>
        </xdr:cNvPr>
        <xdr:cNvGrpSpPr/>
      </xdr:nvGrpSpPr>
      <xdr:grpSpPr>
        <a:xfrm>
          <a:off x="0" y="1270000"/>
          <a:ext cx="10488002" cy="5604832"/>
          <a:chOff x="0" y="1270000"/>
          <a:chExt cx="10489712" cy="5746486"/>
        </a:xfrm>
      </xdr:grpSpPr>
      <xdr:pic>
        <xdr:nvPicPr>
          <xdr:cNvPr id="13" name="Picture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1"/>
          <a:stretch>
            <a:fillRect/>
          </a:stretch>
        </xdr:blipFill>
        <xdr:spPr>
          <a:xfrm>
            <a:off x="0" y="1270000"/>
            <a:ext cx="10489712" cy="5746486"/>
          </a:xfrm>
          <a:prstGeom prst="rect">
            <a:avLst/>
          </a:prstGeom>
        </xdr:spPr>
      </xdr:pic>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793750" y="1846628"/>
            <a:ext cx="13081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Young Carer </a:t>
            </a:r>
            <a:r>
              <a:rPr lang="en-GB" sz="1200">
                <a:solidFill>
                  <a:sysClr val="windowText" lastClr="000000"/>
                </a:solidFill>
              </a:rPr>
              <a:t>Grant</a:t>
            </a:r>
            <a:r>
              <a:rPr lang="en-GB" sz="1200" baseline="0"/>
              <a:t> Launched 21 October 2019</a:t>
            </a:r>
            <a:endParaRPr lang="en-GB" sz="1200"/>
          </a:p>
        </xdr:txBody>
      </xdr:sp>
      <xdr:cxnSp macro="">
        <xdr:nvCxnSpPr>
          <xdr:cNvPr id="15" name="Straight Arrow Connector 14">
            <a:extLst>
              <a:ext uri="{FF2B5EF4-FFF2-40B4-BE49-F238E27FC236}">
                <a16:creationId xmlns:a16="http://schemas.microsoft.com/office/drawing/2014/main" id="{00000000-0008-0000-0B00-00000F000000}"/>
              </a:ext>
            </a:extLst>
          </xdr:cNvPr>
          <xdr:cNvCxnSpPr/>
        </xdr:nvCxnSpPr>
        <xdr:spPr>
          <a:xfrm flipH="1">
            <a:off x="889000" y="2544724"/>
            <a:ext cx="19050" cy="1317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ables/table1.xml><?xml version="1.0" encoding="utf-8"?>
<table xmlns="http://schemas.openxmlformats.org/spreadsheetml/2006/main" id="10" name="Contents" displayName="Contents" ref="A3:B17" totalsRowShown="0" headerRowDxfId="116" dataDxfId="115">
  <autoFilter ref="A3:B17">
    <filterColumn colId="0" hiddenButton="1"/>
    <filterColumn colId="1" hiddenButton="1"/>
  </autoFilter>
  <tableColumns count="2">
    <tableColumn id="1" name="Table or Chart Number" dataDxfId="114" dataCellStyle="Hyperlink"/>
    <tableColumn id="2" name="Table or Chart Description " dataDxfId="113"/>
  </tableColumns>
  <tableStyleInfo name="TableStyleLight1" showFirstColumn="0" showLastColumn="0" showRowStripes="0" showColumnStripes="0"/>
</table>
</file>

<file path=xl/tables/table10.xml><?xml version="1.0" encoding="utf-8"?>
<table xmlns="http://schemas.openxmlformats.org/spreadsheetml/2006/main" id="9" name="Table9" displayName="Table9" ref="A4:E5" totalsRowShown="0" headerRowDxfId="20" dataDxfId="18" headerRowBorderDxfId="19" tableBorderDxfId="17" totalsRowBorderDxfId="16">
  <autoFilter ref="A4:E5">
    <filterColumn colId="0" hiddenButton="1"/>
    <filterColumn colId="1" hiddenButton="1"/>
    <filterColumn colId="2" hiddenButton="1"/>
    <filterColumn colId="3" hiddenButton="1"/>
    <filterColumn colId="4" hiddenButton="1"/>
  </autoFilter>
  <tableColumns count="5">
    <tableColumn id="1" name="Total number of payments issued _x000a_[note 1][note 2][note 3]" dataDxfId="15"/>
    <tableColumn id="2" name="Number of clients who have received at least one payment _x000a_[note 4]" dataDxfId="14"/>
    <tableColumn id="3" name="Number of clients who have received 1 payment only" dataDxfId="13"/>
    <tableColumn id="4" name="Number of clients who have received 2 payments _x000a_[note 4]" dataDxfId="12"/>
    <tableColumn id="5" name="Number of clients who have received 3 payments _x000a_[note 4]" dataDxfId="11"/>
  </tableColumns>
  <tableStyleInfo name="TableStyleLight1" showFirstColumn="0" showLastColumn="0" showRowStripes="0" showColumnStripes="0"/>
</table>
</file>

<file path=xl/tables/table11.xml><?xml version="1.0" encoding="utf-8"?>
<table xmlns="http://schemas.openxmlformats.org/spreadsheetml/2006/main" id="12" name="Table10" displayName="Table10" ref="A6:I44" totalsRowShown="0" headerRowDxfId="10" tableBorderDxfId="9">
  <autoFilter ref="A6:I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nth _x000a_[note 1]" dataDxfId="8"/>
    <tableColumn id="2" name="Number of re-determinations received _x000a_[note 2]" dataDxfId="7"/>
    <tableColumn id="3" name="Re-determinations as a percentage of decisions processed _x000a_" dataDxfId="6"/>
    <tableColumn id="5" name="Re-determinations completed _x000a_[note 3]" dataDxfId="5"/>
    <tableColumn id="6" name="Completed re-determinations which are disallowed _x000a_[note 3]" dataDxfId="4"/>
    <tableColumn id="7" name="Completed re-determinations which are allowed or partially allowed _x000a_[note 3]" dataDxfId="3"/>
    <tableColumn id="8" name="Completed re-determinations which are withdrawn _x000a_[note 3]" dataDxfId="2"/>
    <tableColumn id="10" name="Median response time in working days _x000a_[note 4][note 5]" dataDxfId="1"/>
    <tableColumn id="11" name="Re-determinations closed within 16 working days _x000a_[note 4]" dataDxfId="0"/>
  </tableColumns>
  <tableStyleInfo name="TableStyleLight1" showFirstColumn="0" showLastColumn="0" showRowStripes="1" showColumnStripes="0"/>
</table>
</file>

<file path=xl/tables/table2.xml><?xml version="1.0" encoding="utf-8"?>
<table xmlns="http://schemas.openxmlformats.org/spreadsheetml/2006/main" id="3" name="Table1" displayName="Table1" ref="A6:J48" totalsRowShown="0" headerRowDxfId="112" dataDxfId="111" tableBorderDxfId="110">
  <autoFilter ref="A6:J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note 1][note 2]_x000a_" dataDxfId="109"/>
    <tableColumn id="2" name="Total applications received _x000a_" dataDxfId="108" dataCellStyle="Comma"/>
    <tableColumn id="3" name="Percentage of total applications received " dataDxfId="107"/>
    <tableColumn id="4" name="Total applications processed  _x000a_[note 3]" dataDxfId="106" dataCellStyle="Comma"/>
    <tableColumn id="5" name="Authorised applications" dataDxfId="105" dataCellStyle="Comma"/>
    <tableColumn id="6" name="Denied Applications " dataDxfId="104" dataCellStyle="Comma"/>
    <tableColumn id="7" name="Withdrawn applications " dataDxfId="103" dataCellStyle="Comma"/>
    <tableColumn id="8" name="Percentage of processed applications authorised" dataDxfId="102"/>
    <tableColumn id="9" name="Percentage of processed applications denied" dataDxfId="101"/>
    <tableColumn id="10" name="Percentage of processed applications withdrawn " dataDxfId="100"/>
  </tableColumns>
  <tableStyleInfo name="TableStyleLight1" showFirstColumn="0" showLastColumn="0" showRowStripes="1" showColumnStripes="0"/>
</table>
</file>

<file path=xl/tables/table3.xml><?xml version="1.0" encoding="utf-8"?>
<table xmlns="http://schemas.openxmlformats.org/spreadsheetml/2006/main" id="5" name="Table2" displayName="Table2" ref="A6:H44" totalsRowShown="0" headerRowDxfId="99" dataDxfId="97" headerRowBorderDxfId="98" tableBorderDxfId="96">
  <autoFilter ref="A6: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3" name="Applications Received by month _x000a_[note 1]" dataDxfId="95"/>
    <tableColumn id="4" name="Total" dataDxfId="94" dataCellStyle="Comma"/>
    <tableColumn id="5" name="Online Applications " dataDxfId="93" dataCellStyle="Comma"/>
    <tableColumn id="6" name="Paper Applications _x000a_" dataDxfId="92" dataCellStyle="Comma"/>
    <tableColumn id="7" name="Phone Applications _x000a_[note 2]" dataDxfId="91" dataCellStyle="Comma"/>
    <tableColumn id="8" name="Percentage of Online Applications " dataDxfId="90"/>
    <tableColumn id="9" name="Percentage of Paper Applications" dataDxfId="89"/>
    <tableColumn id="10" name="Percentage of Phone Applications" dataDxfId="88"/>
  </tableColumns>
  <tableStyleInfo name="TableStyleLight1" showFirstColumn="0" showLastColumn="0" showRowStripes="1" showColumnStripes="0"/>
</table>
</file>

<file path=xl/tables/table4.xml><?xml version="1.0" encoding="utf-8"?>
<table xmlns="http://schemas.openxmlformats.org/spreadsheetml/2006/main" id="1" name="Table3" displayName="Table3" ref="A8:J13" totalsRowShown="0" headerRowDxfId="87" dataDxfId="85" headerRowBorderDxfId="86" tableBorderDxfId="84" totalsRowBorderDxfId="83">
  <autoFilter ref="A8:J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of applicant _x000a_[note 1] [note 2] " dataDxfId="82"/>
    <tableColumn id="2" name="Total applications received" dataDxfId="81" dataCellStyle="Comma">
      <calculatedColumnFormula>VLOOKUP($A9, 'Table 3 Full data'!$A$2:$J$1000, 2, FALSE)</calculatedColumnFormula>
    </tableColumn>
    <tableColumn id="3" name="Percentage of total applications received" dataDxfId="80">
      <calculatedColumnFormula>VLOOKUP($A9, 'Table 3 Full data'!$A$2:$J$1000, 3, FALSE)</calculatedColumnFormula>
    </tableColumn>
    <tableColumn id="4" name="Total applications processed _x000a_[note 3]" dataDxfId="79" dataCellStyle="Comma">
      <calculatedColumnFormula>VLOOKUP($A9, 'Table 3 Full data'!$A$2:$J$1000, 4, FALSE)</calculatedColumnFormula>
    </tableColumn>
    <tableColumn id="5" name="Authorised applications" dataDxfId="78" dataCellStyle="Comma">
      <calculatedColumnFormula>VLOOKUP($A9, 'Table 3 Full data'!$A$2:$J$1000, 5, FALSE)</calculatedColumnFormula>
    </tableColumn>
    <tableColumn id="6" name="Denied Applications " dataDxfId="77" dataCellStyle="Comma">
      <calculatedColumnFormula>VLOOKUP($A9, 'Table 3 Full data'!$A$2:$J$1000, 6, FALSE)</calculatedColumnFormula>
    </tableColumn>
    <tableColumn id="7" name="Withdrawn applications " dataDxfId="76" dataCellStyle="Comma">
      <calculatedColumnFormula>VLOOKUP($A9, 'Table 3 Full data'!$A$2:$J$1000, 7, FALSE)</calculatedColumnFormula>
    </tableColumn>
    <tableColumn id="8" name="Percentage of processed applications authorised" dataDxfId="75">
      <calculatedColumnFormula>VLOOKUP($A9, 'Table 3 Full data'!$A$2:$J$1000, 8, FALSE)</calculatedColumnFormula>
    </tableColumn>
    <tableColumn id="9" name="Percentage of processed applications denied" dataDxfId="74">
      <calculatedColumnFormula>VLOOKUP($A9, 'Table 3 Full data'!$A$2:$J$1000, 9, FALSE)</calculatedColumnFormula>
    </tableColumn>
    <tableColumn id="10" name="Percentage of processed applications withdrawn " dataDxfId="73">
      <calculatedColumnFormula>VLOOKUP($A9, 'Table 3 Full data'!$A$2:$J$1000, 10, 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2" name="Table4" displayName="Table4" ref="A8:F44" totalsRowShown="0" headerRowDxfId="72" dataDxfId="71" tableBorderDxfId="70" dataCellStyle="Comma">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note 4]" dataDxfId="69"/>
    <tableColumn id="2" name="Total applications received _x000a_" dataDxfId="68" dataCellStyle="Comma">
      <calculatedColumnFormula>VLOOKUP($A9, 'Table 4 Full data'!$A$2:$F$1005, 2, FALSE)</calculatedColumnFormula>
    </tableColumn>
    <tableColumn id="3" name="Percentage of total applications received " dataDxfId="67">
      <calculatedColumnFormula>VLOOKUP($A9, 'Table 4 Full data'!$A$2:$F$1005, 3, FALSE)</calculatedColumnFormula>
    </tableColumn>
    <tableColumn id="4" name="Total applications processed _x000a_ [note 5]" dataDxfId="66" dataCellStyle="Comma">
      <calculatedColumnFormula>VLOOKUP($A9, 'Table 4 Full data'!$A$2:$F$1005, 4, FALSE)</calculatedColumnFormula>
    </tableColumn>
    <tableColumn id="5" name="Authorised applications" dataDxfId="65" dataCellStyle="Comma">
      <calculatedColumnFormula>VLOOKUP($A9, 'Table 4 Full data'!$A$2:$F$1005, 5, FALSE)</calculatedColumnFormula>
    </tableColumn>
    <tableColumn id="6" name="Percentage of processed applications authorised" dataDxfId="64">
      <calculatedColumnFormula>VLOOKUP($A9, 'Table 4 Full data'!$A$2:$F$1005, 6, 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4" name="Table5" displayName="Table5" ref="A6:J11" totalsRowShown="0" headerRowDxfId="63" dataDxfId="61" headerRowBorderDxfId="62" tableBorderDxfId="60" totalsRowBorderDxfId="59" dataCellStyle="Comma">
  <autoFilter ref="A6: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umber of cared for people _x000a_[note 1]" dataDxfId="58"/>
    <tableColumn id="2" name="Total applications received _x000a_" dataDxfId="57" dataCellStyle="Comma"/>
    <tableColumn id="3" name="Percentage of total applications received " dataDxfId="56"/>
    <tableColumn id="4" name="Total applications processed  _x000a_[note 2]" dataDxfId="55" dataCellStyle="Comma"/>
    <tableColumn id="5" name="Authorised applications" dataDxfId="54" dataCellStyle="Comma"/>
    <tableColumn id="7" name="Denied applications" dataDxfId="53" dataCellStyle="Comma"/>
    <tableColumn id="8" name="Withdrawn applications" dataDxfId="52" dataCellStyle="Comma"/>
    <tableColumn id="6" name="Percentage of processed applications authorised" dataDxfId="51"/>
    <tableColumn id="9" name="Percentage of processed applications denied" dataDxfId="50" dataCellStyle="Comma"/>
    <tableColumn id="10" name="Percentage of processed applications withdrawn" dataDxfId="49" dataCellStyle="Comma"/>
  </tableColumns>
  <tableStyleInfo name="TableStyleLight1" showFirstColumn="0" showLastColumn="0" showRowStripes="1" showColumnStripes="0"/>
</table>
</file>

<file path=xl/tables/table7.xml><?xml version="1.0" encoding="utf-8"?>
<table xmlns="http://schemas.openxmlformats.org/spreadsheetml/2006/main" id="6" name="Table6" displayName="Table6" ref="A6:M45" totalsRowShown="0" headerRowDxfId="48" dataDxfId="47" tableBorderDxfId="46" dataCellStyle="Comma">
  <autoFilter ref="A6:M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cessing Time by Month _x000a_[note 1][note 2][note 3]" dataDxfId="45"/>
    <tableColumn id="2" name="Total applications processed excluding re-determinations_x000a_" dataDxfId="44" dataCellStyle="Comma"/>
    <tableColumn id="3" name="Applications processed in the same day" dataDxfId="43" dataCellStyle="Comma"/>
    <tableColumn id="4" name="Applications processed in _x000a_1-5 days" dataDxfId="42" dataCellStyle="Comma"/>
    <tableColumn id="5" name="Applications processed in _x000a_6-10 days" dataDxfId="41" dataCellStyle="Comma"/>
    <tableColumn id="6" name="Applications processed in _x000a_11-15 days" dataDxfId="40" dataCellStyle="Comma"/>
    <tableColumn id="7" name="Applications processed in _x000a_16-20 days" dataDxfId="39" dataCellStyle="Comma"/>
    <tableColumn id="8" name="Applications processed in _x000a_21 or more days" dataDxfId="38" dataCellStyle="Comma"/>
    <tableColumn id="9" name="Applications processed within 10 days _x000a_[note 4]" dataDxfId="37" dataCellStyle="Comma"/>
    <tableColumn id="10" name="Applications processed within 15 days _x000a_[note 4]" dataDxfId="36" dataCellStyle="Comma"/>
    <tableColumn id="11" name="Applications processed in 16 days or more _x000a_[note 4]" dataDxfId="35" dataCellStyle="Comma"/>
    <tableColumn id="12" name="Percentage of applications processed within 10 days _x000a_[note 4]" dataDxfId="34" dataCellStyle="Comma"/>
    <tableColumn id="13" name="Median Average Processing Time _x000a_[note 5]" dataDxfId="33" dataCellStyle="Comma"/>
  </tableColumns>
  <tableStyleInfo name="TableStyleLight1" showFirstColumn="0" showLastColumn="0" showRowStripes="1" showColumnStripes="0"/>
</table>
</file>

<file path=xl/tables/table8.xml><?xml version="1.0" encoding="utf-8"?>
<table xmlns="http://schemas.openxmlformats.org/spreadsheetml/2006/main" id="7" name="Table7" displayName="Table7" ref="A8:D44" totalsRowShown="0" headerRowDxfId="32" dataDxfId="31">
  <autoFilter ref="A8:D44">
    <filterColumn colId="0" hiddenButton="1"/>
    <filterColumn colId="1" hiddenButton="1"/>
    <filterColumn colId="2" hiddenButton="1"/>
    <filterColumn colId="3" hiddenButton="1"/>
  </autoFilter>
  <tableColumns count="4">
    <tableColumn id="1" name="Local Authority _x000a_[note 1][note 2][note 3][note 4]" dataDxfId="30"/>
    <tableColumn id="5" name="Number of Payments" dataDxfId="29">
      <calculatedColumnFormula>VLOOKUP($A9, 'Table 7 Full data'!$A$1:$D$1005, 2, FALSE)</calculatedColumnFormula>
    </tableColumn>
    <tableColumn id="2" name="Value of payments _x000a_[note 5][note 6]_x000a_[note 7][note 8]" dataDxfId="28">
      <calculatedColumnFormula>VLOOKUP($A9, 'Table 7 Full data'!$A$1:$D$1005, 3, FALSE)</calculatedColumnFormula>
    </tableColumn>
    <tableColumn id="3" name="Percentage of total payments made" dataDxfId="27">
      <calculatedColumnFormula>VLOOKUP($A9, 'Table 7 Full data'!$A$1:$D$1005, 4, 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8" name="Table8" displayName="Table8" ref="A5:C46" totalsRowShown="0" headerRowDxfId="26" dataDxfId="25" tableBorderDxfId="24">
  <autoFilter ref="A5:C46">
    <filterColumn colId="0" hiddenButton="1"/>
    <filterColumn colId="1" hiddenButton="1"/>
    <filterColumn colId="2" hiddenButton="1"/>
  </autoFilter>
  <tableColumns count="3">
    <tableColumn id="1" name="Month of payment issue_x000a_[note 1][note 2][note 3]_x000a_" dataDxfId="23" dataCellStyle="Comma"/>
    <tableColumn id="3" name="Number of Payments [note 4][note 5]" dataDxfId="22" dataCellStyle="Comma"/>
    <tableColumn id="2" name="Value of payments _x000a_[note 4]_x000a_[note 5][note 6]" dataDxfId="21"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8"/>
  <sheetViews>
    <sheetView tabSelected="1" workbookViewId="0"/>
  </sheetViews>
  <sheetFormatPr defaultRowHeight="14.5" x14ac:dyDescent="0.35"/>
  <cols>
    <col min="1" max="1" width="25.453125" customWidth="1"/>
    <col min="2" max="2" width="80.26953125" customWidth="1"/>
  </cols>
  <sheetData>
    <row r="1" spans="1:2" ht="21" x14ac:dyDescent="0.5">
      <c r="A1" s="24" t="s">
        <v>409</v>
      </c>
    </row>
    <row r="2" spans="1:2" ht="18.5" x14ac:dyDescent="0.45">
      <c r="A2" s="126" t="s">
        <v>297</v>
      </c>
      <c r="B2" s="122"/>
    </row>
    <row r="3" spans="1:2" ht="15.5" x14ac:dyDescent="0.35">
      <c r="A3" s="128" t="s">
        <v>298</v>
      </c>
      <c r="B3" s="127" t="s">
        <v>299</v>
      </c>
    </row>
    <row r="4" spans="1:2" ht="15.65" customHeight="1" x14ac:dyDescent="0.35">
      <c r="A4" s="129" t="s">
        <v>0</v>
      </c>
      <c r="B4" s="130" t="s">
        <v>17</v>
      </c>
    </row>
    <row r="5" spans="1:2" ht="15.5" x14ac:dyDescent="0.35">
      <c r="A5" s="129" t="s">
        <v>1</v>
      </c>
      <c r="B5" s="130" t="s">
        <v>19</v>
      </c>
    </row>
    <row r="6" spans="1:2" ht="15.5" x14ac:dyDescent="0.35">
      <c r="A6" s="129" t="s">
        <v>2</v>
      </c>
      <c r="B6" s="130" t="s">
        <v>30</v>
      </c>
    </row>
    <row r="7" spans="1:2" ht="15.5" x14ac:dyDescent="0.35">
      <c r="A7" s="129" t="s">
        <v>3</v>
      </c>
      <c r="B7" s="130" t="s">
        <v>20</v>
      </c>
    </row>
    <row r="8" spans="1:2" ht="15.5" x14ac:dyDescent="0.35">
      <c r="A8" s="129" t="s">
        <v>4</v>
      </c>
      <c r="B8" s="130" t="s">
        <v>23</v>
      </c>
    </row>
    <row r="9" spans="1:2" ht="15.5" x14ac:dyDescent="0.35">
      <c r="A9" s="129" t="s">
        <v>5</v>
      </c>
      <c r="B9" s="130" t="s">
        <v>25</v>
      </c>
    </row>
    <row r="10" spans="1:2" ht="15.5" x14ac:dyDescent="0.35">
      <c r="A10" s="129" t="s">
        <v>11</v>
      </c>
      <c r="B10" s="130" t="s">
        <v>35</v>
      </c>
    </row>
    <row r="11" spans="1:2" ht="15.5" x14ac:dyDescent="0.35">
      <c r="A11" s="129" t="s">
        <v>10</v>
      </c>
      <c r="B11" s="130" t="s">
        <v>26</v>
      </c>
    </row>
    <row r="12" spans="1:2" ht="15.5" x14ac:dyDescent="0.35">
      <c r="A12" s="129" t="s">
        <v>9</v>
      </c>
      <c r="B12" s="130" t="s">
        <v>37</v>
      </c>
    </row>
    <row r="13" spans="1:2" ht="15.5" x14ac:dyDescent="0.35">
      <c r="A13" s="129" t="s">
        <v>34</v>
      </c>
      <c r="B13" s="130" t="s">
        <v>309</v>
      </c>
    </row>
    <row r="14" spans="1:2" ht="15.5" x14ac:dyDescent="0.35">
      <c r="A14" s="129" t="s">
        <v>27</v>
      </c>
      <c r="B14" s="130" t="s">
        <v>31</v>
      </c>
    </row>
    <row r="15" spans="1:2" ht="15.5" x14ac:dyDescent="0.35">
      <c r="A15" s="131" t="s">
        <v>286</v>
      </c>
      <c r="B15" s="130" t="s">
        <v>289</v>
      </c>
    </row>
    <row r="16" spans="1:2" ht="15.5" x14ac:dyDescent="0.35">
      <c r="A16" s="131" t="s">
        <v>287</v>
      </c>
      <c r="B16" s="130" t="s">
        <v>290</v>
      </c>
    </row>
    <row r="17" spans="1:2" ht="15.5" x14ac:dyDescent="0.35">
      <c r="A17" s="129" t="s">
        <v>288</v>
      </c>
      <c r="B17" s="130" t="s">
        <v>291</v>
      </c>
    </row>
    <row r="18" spans="1:2" x14ac:dyDescent="0.35">
      <c r="A18" s="1"/>
    </row>
  </sheetData>
  <hyperlinks>
    <hyperlink ref="A8" location="'Table 5 Cared for People'!A1" display="Table 5"/>
    <hyperlink ref="A7" location="'Table 4 Applications by LA'!A1" display="Table 4"/>
    <hyperlink ref="A13" location="'Table 10 Re-determinations'!A1" display="Table 10"/>
    <hyperlink ref="A6" location="'Table 3 Applications by age'!A1" display="Table 3"/>
    <hyperlink ref="A9" location="'Table 6 Processing Times'!A1" display="Table 6"/>
    <hyperlink ref="A10" location="'Table 7 Payments by LA'!A1" display="Table 7"/>
    <hyperlink ref="A11" location="'Table 8 Payments by month'!A1" display="Table 8"/>
    <hyperlink ref="A5" location="'Table 2 Applications by channel'!A1" display="Table 2"/>
    <hyperlink ref="A14" location="'Chart 1 Applications by month'!A1" display="Chart 1"/>
    <hyperlink ref="A4" location="'Table 1 Applications by month'!A1" display="Table 1"/>
    <hyperlink ref="A12" location="'Table 9 Clients by payments'!A1" display="Table 9"/>
    <hyperlink ref="A15" location="'Table 3 Full data'!A1" display="Table 3 Full data"/>
    <hyperlink ref="A16" location="'Table 4 Full data'!A1" display="Table 4 Full data"/>
    <hyperlink ref="A17" location="'Table 7 Full data'!A1" display="Table 7 Full data"/>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Normal="100" workbookViewId="0"/>
  </sheetViews>
  <sheetFormatPr defaultColWidth="28.1796875" defaultRowHeight="14.5" x14ac:dyDescent="0.35"/>
  <sheetData>
    <row r="1" spans="1:22" ht="21" x14ac:dyDescent="0.5">
      <c r="A1" s="24" t="s">
        <v>36</v>
      </c>
    </row>
    <row r="2" spans="1:22" ht="15.5" x14ac:dyDescent="0.35">
      <c r="A2" s="30" t="s">
        <v>101</v>
      </c>
    </row>
    <row r="3" spans="1:22" ht="15.5" x14ac:dyDescent="0.35">
      <c r="A3" s="26" t="s">
        <v>296</v>
      </c>
    </row>
    <row r="4" spans="1:22" ht="75" customHeight="1" x14ac:dyDescent="0.35">
      <c r="A4" s="112" t="s">
        <v>380</v>
      </c>
      <c r="B4" s="112" t="s">
        <v>381</v>
      </c>
      <c r="C4" s="100" t="s">
        <v>408</v>
      </c>
      <c r="D4" s="148" t="s">
        <v>382</v>
      </c>
      <c r="E4" s="148" t="s">
        <v>383</v>
      </c>
    </row>
    <row r="5" spans="1:22" ht="15.5" x14ac:dyDescent="0.35">
      <c r="A5" s="153">
        <v>7420</v>
      </c>
      <c r="B5" s="153">
        <v>5030</v>
      </c>
      <c r="C5" s="154">
        <v>3020</v>
      </c>
      <c r="D5" s="155">
        <v>1625</v>
      </c>
      <c r="E5" s="156">
        <v>385</v>
      </c>
    </row>
    <row r="6" spans="1:22" ht="15.75" customHeight="1" x14ac:dyDescent="0.35">
      <c r="A6" s="34" t="s">
        <v>8</v>
      </c>
      <c r="B6" s="4"/>
      <c r="C6" s="4"/>
      <c r="D6" s="4"/>
      <c r="E6" s="4"/>
      <c r="F6" s="4"/>
      <c r="G6" s="4"/>
      <c r="H6" s="4"/>
      <c r="I6" s="4"/>
      <c r="J6" s="4"/>
      <c r="K6" s="4"/>
      <c r="L6" s="4"/>
      <c r="M6" s="4"/>
      <c r="N6" s="4"/>
      <c r="O6" s="4"/>
      <c r="P6" s="4"/>
      <c r="Q6" s="4"/>
      <c r="R6" s="4"/>
      <c r="S6" s="4"/>
      <c r="T6" s="4"/>
      <c r="U6" s="4"/>
      <c r="V6" s="4"/>
    </row>
    <row r="7" spans="1:22" ht="15.75" customHeight="1" x14ac:dyDescent="0.35">
      <c r="A7" s="34" t="s">
        <v>102</v>
      </c>
      <c r="B7" s="4"/>
      <c r="C7" s="4"/>
      <c r="D7" s="4"/>
      <c r="E7" s="4"/>
      <c r="F7" s="4"/>
      <c r="G7" s="4"/>
    </row>
    <row r="8" spans="1:22" ht="15.75" customHeight="1" x14ac:dyDescent="0.35">
      <c r="A8" s="34" t="s">
        <v>112</v>
      </c>
      <c r="B8" s="4"/>
      <c r="C8" s="4"/>
      <c r="D8" s="4"/>
      <c r="E8" s="4"/>
      <c r="F8" s="4"/>
      <c r="G8" s="4"/>
    </row>
    <row r="9" spans="1:22" ht="15.75" customHeight="1" x14ac:dyDescent="0.35">
      <c r="A9" s="34" t="s">
        <v>407</v>
      </c>
      <c r="B9" s="4"/>
      <c r="C9" s="4"/>
      <c r="D9" s="4"/>
      <c r="E9" s="4"/>
      <c r="F9" s="4"/>
      <c r="G9" s="4"/>
    </row>
    <row r="10" spans="1:22" ht="15.75" customHeight="1" x14ac:dyDescent="0.35">
      <c r="A10" s="30" t="s">
        <v>418</v>
      </c>
    </row>
  </sheetData>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15" zoomScaleNormal="100" workbookViewId="0"/>
  </sheetViews>
  <sheetFormatPr defaultRowHeight="14.5" x14ac:dyDescent="0.35"/>
  <cols>
    <col min="1" max="1" width="35.54296875" customWidth="1"/>
    <col min="2" max="2" width="17.54296875" customWidth="1"/>
    <col min="3" max="3" width="20.7265625" customWidth="1"/>
    <col min="4" max="4" width="19.26953125" customWidth="1"/>
    <col min="5" max="5" width="18.81640625" customWidth="1"/>
    <col min="6" max="6" width="20.26953125" customWidth="1"/>
    <col min="7" max="7" width="18.81640625" customWidth="1"/>
    <col min="8" max="8" width="17.453125" customWidth="1"/>
    <col min="9" max="9" width="18.54296875" customWidth="1"/>
  </cols>
  <sheetData>
    <row r="1" spans="1:13" ht="21" x14ac:dyDescent="0.5">
      <c r="A1" s="44" t="s">
        <v>105</v>
      </c>
    </row>
    <row r="2" spans="1:13" ht="15.5" x14ac:dyDescent="0.35">
      <c r="A2" s="30" t="s">
        <v>104</v>
      </c>
    </row>
    <row r="3" spans="1:13" ht="15.5" x14ac:dyDescent="0.35">
      <c r="A3" s="132" t="s">
        <v>300</v>
      </c>
    </row>
    <row r="4" spans="1:13" ht="15.5" x14ac:dyDescent="0.35">
      <c r="A4" s="132" t="s">
        <v>301</v>
      </c>
    </row>
    <row r="5" spans="1:13" ht="15.5" x14ac:dyDescent="0.35">
      <c r="A5" s="26" t="s">
        <v>306</v>
      </c>
    </row>
    <row r="6" spans="1:13" ht="95.5" customHeight="1" x14ac:dyDescent="0.35">
      <c r="A6" s="17" t="s">
        <v>432</v>
      </c>
      <c r="B6" s="16" t="s">
        <v>384</v>
      </c>
      <c r="C6" s="16" t="s">
        <v>103</v>
      </c>
      <c r="D6" s="16" t="s">
        <v>385</v>
      </c>
      <c r="E6" s="16" t="s">
        <v>386</v>
      </c>
      <c r="F6" s="16" t="s">
        <v>387</v>
      </c>
      <c r="G6" s="16" t="s">
        <v>388</v>
      </c>
      <c r="H6" s="53" t="s">
        <v>389</v>
      </c>
      <c r="I6" s="77" t="s">
        <v>390</v>
      </c>
    </row>
    <row r="7" spans="1:13" ht="15.5" x14ac:dyDescent="0.35">
      <c r="A7" s="90" t="s">
        <v>6</v>
      </c>
      <c r="B7" s="91">
        <v>205</v>
      </c>
      <c r="C7" s="253">
        <v>1.9E-2</v>
      </c>
      <c r="D7" s="91">
        <v>205</v>
      </c>
      <c r="E7" s="92">
        <v>70</v>
      </c>
      <c r="F7" s="91">
        <v>115</v>
      </c>
      <c r="G7" s="92">
        <v>20</v>
      </c>
      <c r="H7" s="91">
        <v>9</v>
      </c>
      <c r="I7" s="150">
        <v>0.9</v>
      </c>
      <c r="L7" s="2"/>
      <c r="M7" s="134"/>
    </row>
    <row r="8" spans="1:13" ht="15.5" x14ac:dyDescent="0.35">
      <c r="A8" s="78" t="s">
        <v>39</v>
      </c>
      <c r="B8" s="79">
        <v>0</v>
      </c>
      <c r="C8" s="94">
        <v>0</v>
      </c>
      <c r="D8" s="79">
        <v>0</v>
      </c>
      <c r="E8" s="80">
        <v>0</v>
      </c>
      <c r="F8" s="79">
        <v>0</v>
      </c>
      <c r="G8" s="80">
        <v>0</v>
      </c>
      <c r="H8" s="81" t="s">
        <v>111</v>
      </c>
      <c r="I8" s="55" t="s">
        <v>111</v>
      </c>
      <c r="L8" s="2"/>
      <c r="M8" s="134"/>
    </row>
    <row r="9" spans="1:13" ht="15" customHeight="1" x14ac:dyDescent="0.35">
      <c r="A9" s="78" t="s">
        <v>40</v>
      </c>
      <c r="B9" s="79" t="s">
        <v>109</v>
      </c>
      <c r="C9" s="95">
        <v>6.0000000000000001E-3</v>
      </c>
      <c r="D9" s="79" t="s">
        <v>109</v>
      </c>
      <c r="E9" s="80">
        <v>0</v>
      </c>
      <c r="F9" s="79" t="s">
        <v>109</v>
      </c>
      <c r="G9" s="80">
        <v>0</v>
      </c>
      <c r="H9" s="82">
        <v>15</v>
      </c>
      <c r="I9" s="36">
        <v>1</v>
      </c>
      <c r="L9" s="2"/>
      <c r="M9" s="134"/>
    </row>
    <row r="10" spans="1:13" ht="15" customHeight="1" thickBot="1" x14ac:dyDescent="0.4">
      <c r="A10" s="78" t="s">
        <v>41</v>
      </c>
      <c r="B10" s="79" t="s">
        <v>109</v>
      </c>
      <c r="C10" s="94">
        <v>6.0000000000000001E-3</v>
      </c>
      <c r="D10" s="254">
        <v>5</v>
      </c>
      <c r="E10" s="80">
        <v>0</v>
      </c>
      <c r="F10" s="79" t="s">
        <v>109</v>
      </c>
      <c r="G10" s="80" t="s">
        <v>109</v>
      </c>
      <c r="H10" s="96">
        <v>16</v>
      </c>
      <c r="I10" s="55">
        <v>1</v>
      </c>
      <c r="L10" s="2"/>
      <c r="M10" s="134"/>
    </row>
    <row r="11" spans="1:13" ht="15.5" x14ac:dyDescent="0.35">
      <c r="A11" s="78" t="s">
        <v>42</v>
      </c>
      <c r="B11" s="79">
        <v>5</v>
      </c>
      <c r="C11" s="95">
        <v>0.01</v>
      </c>
      <c r="D11" s="79" t="s">
        <v>109</v>
      </c>
      <c r="E11" s="80">
        <v>0</v>
      </c>
      <c r="F11" s="79">
        <v>0</v>
      </c>
      <c r="G11" s="80" t="s">
        <v>109</v>
      </c>
      <c r="H11" s="82" t="s">
        <v>109</v>
      </c>
      <c r="I11" s="36" t="s">
        <v>109</v>
      </c>
      <c r="L11" s="2"/>
      <c r="M11" s="134"/>
    </row>
    <row r="12" spans="1:13" ht="15.5" x14ac:dyDescent="0.35">
      <c r="A12" s="78" t="s">
        <v>43</v>
      </c>
      <c r="B12" s="79" t="s">
        <v>109</v>
      </c>
      <c r="C12" s="94">
        <v>9.0000000000000011E-3</v>
      </c>
      <c r="D12" s="254">
        <v>5</v>
      </c>
      <c r="E12" s="80" t="s">
        <v>109</v>
      </c>
      <c r="F12" s="83">
        <v>0</v>
      </c>
      <c r="G12" s="80" t="s">
        <v>109</v>
      </c>
      <c r="H12" s="79">
        <v>15</v>
      </c>
      <c r="I12" s="55">
        <v>1</v>
      </c>
      <c r="L12" s="2"/>
      <c r="M12" s="134"/>
    </row>
    <row r="13" spans="1:13" ht="15.5" x14ac:dyDescent="0.35">
      <c r="A13" s="78" t="s">
        <v>44</v>
      </c>
      <c r="B13" s="79">
        <v>5</v>
      </c>
      <c r="C13" s="95">
        <v>1.4E-2</v>
      </c>
      <c r="D13" s="79">
        <v>5</v>
      </c>
      <c r="E13" s="80" t="s">
        <v>109</v>
      </c>
      <c r="F13" s="79">
        <v>0</v>
      </c>
      <c r="G13" s="80" t="s">
        <v>109</v>
      </c>
      <c r="H13" s="254">
        <v>12.5</v>
      </c>
      <c r="I13" s="36">
        <v>1</v>
      </c>
      <c r="K13" s="180"/>
      <c r="L13" s="2"/>
      <c r="M13" s="134"/>
    </row>
    <row r="14" spans="1:13" ht="15.5" x14ac:dyDescent="0.35">
      <c r="A14" s="84" t="s">
        <v>45</v>
      </c>
      <c r="B14" s="83">
        <v>5</v>
      </c>
      <c r="C14" s="94">
        <v>2.7E-2</v>
      </c>
      <c r="D14" s="254">
        <v>5</v>
      </c>
      <c r="E14" s="80" t="s">
        <v>109</v>
      </c>
      <c r="F14" s="79" t="s">
        <v>109</v>
      </c>
      <c r="G14" s="80" t="s">
        <v>109</v>
      </c>
      <c r="H14" s="79">
        <v>5</v>
      </c>
      <c r="I14" s="55">
        <v>1</v>
      </c>
      <c r="K14" s="180"/>
      <c r="L14" s="2"/>
      <c r="M14" s="134"/>
    </row>
    <row r="15" spans="1:13" ht="15.5" x14ac:dyDescent="0.35">
      <c r="A15" s="78" t="s">
        <v>46</v>
      </c>
      <c r="B15" s="79">
        <v>5</v>
      </c>
      <c r="C15" s="95">
        <v>2.9000000000000001E-2</v>
      </c>
      <c r="D15" s="79">
        <v>5</v>
      </c>
      <c r="E15" s="80">
        <v>0</v>
      </c>
      <c r="F15" s="79">
        <v>5</v>
      </c>
      <c r="G15" s="80" t="s">
        <v>109</v>
      </c>
      <c r="H15" s="254">
        <v>6.5</v>
      </c>
      <c r="I15" s="36">
        <v>1</v>
      </c>
      <c r="K15" s="180"/>
      <c r="L15" s="2"/>
      <c r="M15" s="134"/>
    </row>
    <row r="16" spans="1:13" ht="15.5" x14ac:dyDescent="0.35">
      <c r="A16" s="84" t="s">
        <v>47</v>
      </c>
      <c r="B16" s="83">
        <v>5</v>
      </c>
      <c r="C16" s="94">
        <v>2.3E-2</v>
      </c>
      <c r="D16" s="254">
        <v>5</v>
      </c>
      <c r="E16" s="255">
        <v>5</v>
      </c>
      <c r="F16" s="79" t="s">
        <v>109</v>
      </c>
      <c r="G16" s="80" t="s">
        <v>109</v>
      </c>
      <c r="H16" s="79">
        <v>13</v>
      </c>
      <c r="I16" s="55">
        <v>1</v>
      </c>
      <c r="K16" s="180"/>
      <c r="L16" s="2"/>
      <c r="M16" s="134"/>
    </row>
    <row r="17" spans="1:13" ht="15.5" x14ac:dyDescent="0.35">
      <c r="A17" s="78" t="s">
        <v>48</v>
      </c>
      <c r="B17" s="79">
        <v>10</v>
      </c>
      <c r="C17" s="95">
        <v>5.7000000000000002E-2</v>
      </c>
      <c r="D17" s="79">
        <v>15</v>
      </c>
      <c r="E17" s="80" t="s">
        <v>109</v>
      </c>
      <c r="F17" s="79">
        <v>10</v>
      </c>
      <c r="G17" s="80" t="s">
        <v>109</v>
      </c>
      <c r="H17" s="254">
        <v>14.5</v>
      </c>
      <c r="I17" s="36">
        <v>0.92</v>
      </c>
      <c r="K17" s="180"/>
      <c r="L17" s="2"/>
      <c r="M17" s="134"/>
    </row>
    <row r="18" spans="1:13" ht="15.5" x14ac:dyDescent="0.35">
      <c r="A18" s="84" t="s">
        <v>49</v>
      </c>
      <c r="B18" s="83">
        <v>5</v>
      </c>
      <c r="C18" s="94">
        <v>2.5000000000000001E-2</v>
      </c>
      <c r="D18" s="254">
        <v>5</v>
      </c>
      <c r="E18" s="80" t="s">
        <v>109</v>
      </c>
      <c r="F18" s="79" t="s">
        <v>109</v>
      </c>
      <c r="G18" s="80" t="s">
        <v>109</v>
      </c>
      <c r="H18" s="79">
        <v>15</v>
      </c>
      <c r="I18" s="55">
        <v>1</v>
      </c>
      <c r="K18" s="180"/>
      <c r="L18" s="2"/>
      <c r="M18" s="134"/>
    </row>
    <row r="19" spans="1:13" ht="15.5" x14ac:dyDescent="0.35">
      <c r="A19" s="78" t="s">
        <v>50</v>
      </c>
      <c r="B19" s="79">
        <v>5</v>
      </c>
      <c r="C19" s="95">
        <v>1.3000000000000001E-2</v>
      </c>
      <c r="D19" s="79">
        <v>5</v>
      </c>
      <c r="E19" s="80" t="s">
        <v>109</v>
      </c>
      <c r="F19" s="79" t="s">
        <v>109</v>
      </c>
      <c r="G19" s="80">
        <v>0</v>
      </c>
      <c r="H19" s="254">
        <v>15</v>
      </c>
      <c r="I19" s="36">
        <v>0.75</v>
      </c>
      <c r="K19" s="180"/>
      <c r="L19" s="2"/>
      <c r="M19" s="134"/>
    </row>
    <row r="20" spans="1:13" ht="15.5" x14ac:dyDescent="0.35">
      <c r="A20" s="84" t="s">
        <v>51</v>
      </c>
      <c r="B20" s="152">
        <v>5</v>
      </c>
      <c r="C20" s="94">
        <v>3.1E-2</v>
      </c>
      <c r="D20" s="254">
        <v>5</v>
      </c>
      <c r="E20" s="80" t="s">
        <v>109</v>
      </c>
      <c r="F20" s="79">
        <v>5</v>
      </c>
      <c r="G20" s="85">
        <v>0</v>
      </c>
      <c r="H20" s="79">
        <v>12</v>
      </c>
      <c r="I20" s="55">
        <v>1</v>
      </c>
      <c r="K20" s="180"/>
      <c r="L20" s="2"/>
      <c r="M20" s="134"/>
    </row>
    <row r="21" spans="1:13" ht="15.5" x14ac:dyDescent="0.35">
      <c r="A21" s="86" t="s">
        <v>52</v>
      </c>
      <c r="B21" s="87">
        <v>10</v>
      </c>
      <c r="C21" s="95">
        <v>2.4E-2</v>
      </c>
      <c r="D21" s="87">
        <v>10</v>
      </c>
      <c r="E21" s="256">
        <v>5</v>
      </c>
      <c r="F21" s="257">
        <v>5</v>
      </c>
      <c r="G21" s="88" t="s">
        <v>109</v>
      </c>
      <c r="H21" s="258">
        <v>11.5</v>
      </c>
      <c r="I21" s="36">
        <v>0.75</v>
      </c>
      <c r="K21" s="180"/>
      <c r="L21" s="2"/>
      <c r="M21" s="134"/>
    </row>
    <row r="22" spans="1:13" ht="15.5" x14ac:dyDescent="0.35">
      <c r="A22" s="89" t="s">
        <v>53</v>
      </c>
      <c r="B22" s="152">
        <v>5</v>
      </c>
      <c r="C22" s="94">
        <v>7.0000000000000001E-3</v>
      </c>
      <c r="D22" s="87" t="s">
        <v>109</v>
      </c>
      <c r="E22" s="88">
        <v>0</v>
      </c>
      <c r="F22" s="87">
        <v>0</v>
      </c>
      <c r="G22" s="88" t="s">
        <v>109</v>
      </c>
      <c r="H22" s="81" t="s">
        <v>109</v>
      </c>
      <c r="I22" s="55" t="s">
        <v>109</v>
      </c>
      <c r="K22" s="180"/>
      <c r="L22" s="2"/>
      <c r="M22" s="134"/>
    </row>
    <row r="23" spans="1:13" ht="15.5" x14ac:dyDescent="0.35">
      <c r="A23" s="86" t="s">
        <v>54</v>
      </c>
      <c r="B23" s="87">
        <v>5</v>
      </c>
      <c r="C23" s="95">
        <v>1.0999999999999999E-2</v>
      </c>
      <c r="D23" s="87">
        <v>5</v>
      </c>
      <c r="E23" s="88" t="s">
        <v>109</v>
      </c>
      <c r="F23" s="87">
        <v>5</v>
      </c>
      <c r="G23" s="88">
        <v>0</v>
      </c>
      <c r="H23" s="258">
        <v>14</v>
      </c>
      <c r="I23" s="36">
        <v>0.8</v>
      </c>
      <c r="K23" s="180"/>
      <c r="L23" s="2"/>
      <c r="M23" s="134"/>
    </row>
    <row r="24" spans="1:13" ht="15.5" x14ac:dyDescent="0.35">
      <c r="A24" s="86" t="s">
        <v>55</v>
      </c>
      <c r="B24" s="87">
        <v>5</v>
      </c>
      <c r="C24" s="94">
        <v>1.9E-2</v>
      </c>
      <c r="D24" s="87">
        <v>10</v>
      </c>
      <c r="E24" s="88">
        <v>5</v>
      </c>
      <c r="F24" s="87">
        <v>5</v>
      </c>
      <c r="G24" s="88" t="s">
        <v>109</v>
      </c>
      <c r="H24" s="258">
        <v>6</v>
      </c>
      <c r="I24" s="55">
        <v>0.86</v>
      </c>
      <c r="K24" s="180"/>
      <c r="L24" s="2"/>
      <c r="M24" s="134"/>
    </row>
    <row r="25" spans="1:13" ht="15.5" x14ac:dyDescent="0.35">
      <c r="A25" s="86" t="s">
        <v>56</v>
      </c>
      <c r="B25" s="87">
        <v>10</v>
      </c>
      <c r="C25" s="95">
        <v>0.02</v>
      </c>
      <c r="D25" s="87">
        <v>5</v>
      </c>
      <c r="E25" s="88">
        <v>5</v>
      </c>
      <c r="F25" s="87" t="s">
        <v>109</v>
      </c>
      <c r="G25" s="88">
        <v>0</v>
      </c>
      <c r="H25" s="258">
        <v>5.5</v>
      </c>
      <c r="I25" s="36">
        <v>1</v>
      </c>
      <c r="K25" s="180"/>
      <c r="L25" s="2"/>
      <c r="M25" s="134"/>
    </row>
    <row r="26" spans="1:13" ht="15.5" x14ac:dyDescent="0.35">
      <c r="A26" s="86" t="s">
        <v>57</v>
      </c>
      <c r="B26" s="87">
        <v>5</v>
      </c>
      <c r="C26" s="94">
        <v>1.4E-2</v>
      </c>
      <c r="D26" s="87">
        <v>5</v>
      </c>
      <c r="E26" s="88" t="s">
        <v>109</v>
      </c>
      <c r="F26" s="87" t="s">
        <v>109</v>
      </c>
      <c r="G26" s="88">
        <v>0</v>
      </c>
      <c r="H26" s="258">
        <v>10</v>
      </c>
      <c r="I26" s="55">
        <v>1</v>
      </c>
      <c r="K26" s="180"/>
      <c r="L26" s="2"/>
      <c r="M26" s="134"/>
    </row>
    <row r="27" spans="1:13" ht="15.5" x14ac:dyDescent="0.35">
      <c r="A27" s="84" t="s">
        <v>58</v>
      </c>
      <c r="B27" s="83">
        <v>5</v>
      </c>
      <c r="C27" s="95">
        <v>2.8000000000000001E-2</v>
      </c>
      <c r="D27" s="254">
        <v>10</v>
      </c>
      <c r="E27" s="255">
        <v>0</v>
      </c>
      <c r="F27" s="254">
        <v>10</v>
      </c>
      <c r="G27" s="255">
        <v>0</v>
      </c>
      <c r="H27" s="254">
        <v>7.5</v>
      </c>
      <c r="I27" s="36">
        <v>0.63</v>
      </c>
      <c r="K27" s="180"/>
      <c r="L27" s="2"/>
      <c r="M27" s="134"/>
    </row>
    <row r="28" spans="1:13" ht="15.5" x14ac:dyDescent="0.35">
      <c r="A28" s="84" t="s">
        <v>59</v>
      </c>
      <c r="B28" s="83">
        <v>5</v>
      </c>
      <c r="C28" s="94">
        <v>1.0999999999999999E-2</v>
      </c>
      <c r="D28" s="254">
        <v>5</v>
      </c>
      <c r="E28" s="85" t="s">
        <v>109</v>
      </c>
      <c r="F28" s="83" t="s">
        <v>109</v>
      </c>
      <c r="G28" s="255">
        <v>0</v>
      </c>
      <c r="H28" s="254">
        <v>7</v>
      </c>
      <c r="I28" s="55">
        <v>1</v>
      </c>
      <c r="K28" s="180"/>
      <c r="L28" s="2"/>
      <c r="M28" s="134"/>
    </row>
    <row r="29" spans="1:13" ht="15.5" x14ac:dyDescent="0.35">
      <c r="A29" s="84" t="s">
        <v>73</v>
      </c>
      <c r="B29" s="83">
        <v>5</v>
      </c>
      <c r="C29" s="95">
        <v>1.6E-2</v>
      </c>
      <c r="D29" s="254">
        <v>5</v>
      </c>
      <c r="E29" s="85">
        <v>0</v>
      </c>
      <c r="F29" s="83" t="s">
        <v>109</v>
      </c>
      <c r="G29" s="255">
        <v>5</v>
      </c>
      <c r="H29" s="83">
        <v>21</v>
      </c>
      <c r="I29" s="55">
        <v>0</v>
      </c>
      <c r="K29" s="180"/>
      <c r="L29" s="2"/>
      <c r="M29" s="134"/>
    </row>
    <row r="30" spans="1:13" ht="14.5" customHeight="1" x14ac:dyDescent="0.35">
      <c r="A30" s="89" t="s">
        <v>302</v>
      </c>
      <c r="B30" s="83">
        <v>5</v>
      </c>
      <c r="C30" s="94">
        <v>1.2E-2</v>
      </c>
      <c r="D30" s="254">
        <v>5</v>
      </c>
      <c r="E30" s="255">
        <v>0</v>
      </c>
      <c r="F30" s="254">
        <v>5</v>
      </c>
      <c r="G30" s="85" t="s">
        <v>109</v>
      </c>
      <c r="H30" s="254">
        <v>8</v>
      </c>
      <c r="I30" s="55">
        <v>1</v>
      </c>
      <c r="J30" s="5"/>
      <c r="K30" s="180"/>
      <c r="L30" s="2"/>
      <c r="M30" s="134"/>
    </row>
    <row r="31" spans="1:13" ht="14.5" customHeight="1" x14ac:dyDescent="0.35">
      <c r="A31" s="89" t="s">
        <v>303</v>
      </c>
      <c r="B31" s="83">
        <v>5</v>
      </c>
      <c r="C31" s="94">
        <v>1.4999999999999999E-2</v>
      </c>
      <c r="D31" s="254">
        <v>5</v>
      </c>
      <c r="E31" s="85" t="s">
        <v>109</v>
      </c>
      <c r="F31" s="83" t="s">
        <v>109</v>
      </c>
      <c r="G31" s="85" t="s">
        <v>109</v>
      </c>
      <c r="H31" s="254">
        <v>5.5</v>
      </c>
      <c r="I31" s="55">
        <v>1</v>
      </c>
      <c r="J31" s="5"/>
      <c r="K31" s="180"/>
      <c r="L31" s="2"/>
      <c r="M31" s="134"/>
    </row>
    <row r="32" spans="1:13" ht="14.5" customHeight="1" x14ac:dyDescent="0.35">
      <c r="A32" s="89" t="s">
        <v>304</v>
      </c>
      <c r="B32" s="83">
        <v>5</v>
      </c>
      <c r="C32" s="94">
        <v>2.1000000000000001E-2</v>
      </c>
      <c r="D32" s="83" t="s">
        <v>109</v>
      </c>
      <c r="E32" s="85" t="s">
        <v>109</v>
      </c>
      <c r="F32" s="83">
        <v>0</v>
      </c>
      <c r="G32" s="255">
        <v>0</v>
      </c>
      <c r="H32" s="79">
        <v>4</v>
      </c>
      <c r="I32" s="55">
        <v>1</v>
      </c>
      <c r="J32" s="5"/>
      <c r="K32" s="180"/>
      <c r="L32" s="2"/>
      <c r="M32" s="134"/>
    </row>
    <row r="33" spans="1:13" ht="14.5" customHeight="1" x14ac:dyDescent="0.35">
      <c r="A33" s="30" t="s">
        <v>317</v>
      </c>
      <c r="B33" s="83">
        <v>10</v>
      </c>
      <c r="C33" s="259">
        <v>0.03</v>
      </c>
      <c r="D33" s="83">
        <v>10</v>
      </c>
      <c r="E33" s="85">
        <v>5</v>
      </c>
      <c r="F33" s="83">
        <v>5</v>
      </c>
      <c r="G33" s="255">
        <v>0</v>
      </c>
      <c r="H33" s="79">
        <v>8</v>
      </c>
      <c r="I33" s="55">
        <v>0.9</v>
      </c>
      <c r="J33" s="5"/>
      <c r="K33" s="180"/>
      <c r="L33" s="2"/>
      <c r="M33" s="134"/>
    </row>
    <row r="34" spans="1:13" ht="14.5" customHeight="1" x14ac:dyDescent="0.35">
      <c r="A34" s="30" t="s">
        <v>318</v>
      </c>
      <c r="B34" s="83">
        <v>10</v>
      </c>
      <c r="C34" s="259">
        <v>2.8000000000000001E-2</v>
      </c>
      <c r="D34" s="83">
        <v>10</v>
      </c>
      <c r="E34" s="85">
        <v>5</v>
      </c>
      <c r="F34" s="83">
        <v>5</v>
      </c>
      <c r="G34" s="255">
        <v>0</v>
      </c>
      <c r="H34" s="79">
        <v>8</v>
      </c>
      <c r="I34" s="55">
        <v>0.88</v>
      </c>
      <c r="J34" s="5"/>
      <c r="K34" s="180"/>
      <c r="L34" s="2"/>
      <c r="M34" s="134"/>
    </row>
    <row r="35" spans="1:13" ht="14.5" customHeight="1" x14ac:dyDescent="0.35">
      <c r="A35" s="30" t="s">
        <v>319</v>
      </c>
      <c r="B35" s="83">
        <v>5</v>
      </c>
      <c r="C35" s="259">
        <v>1.3000000000000001E-2</v>
      </c>
      <c r="D35" s="83">
        <v>5</v>
      </c>
      <c r="E35" s="83" t="s">
        <v>109</v>
      </c>
      <c r="F35" s="83" t="s">
        <v>109</v>
      </c>
      <c r="G35" s="255">
        <v>0</v>
      </c>
      <c r="H35" s="79">
        <v>3</v>
      </c>
      <c r="I35" s="55">
        <v>1</v>
      </c>
      <c r="J35" s="5"/>
      <c r="K35" s="180"/>
      <c r="L35" s="2"/>
      <c r="M35" s="134"/>
    </row>
    <row r="36" spans="1:13" ht="14.5" customHeight="1" x14ac:dyDescent="0.35">
      <c r="A36" s="84" t="s">
        <v>320</v>
      </c>
      <c r="B36" s="83">
        <v>15</v>
      </c>
      <c r="C36" s="260">
        <v>3.7999999999999999E-2</v>
      </c>
      <c r="D36" s="83">
        <v>15</v>
      </c>
      <c r="E36" s="85">
        <v>5</v>
      </c>
      <c r="F36" s="83">
        <v>10</v>
      </c>
      <c r="G36" s="255">
        <v>0</v>
      </c>
      <c r="H36" s="254">
        <v>7</v>
      </c>
      <c r="I36" s="55">
        <v>0.94</v>
      </c>
      <c r="J36" s="5"/>
      <c r="K36" s="180"/>
      <c r="L36" s="2"/>
      <c r="M36" s="134"/>
    </row>
    <row r="37" spans="1:13" ht="14.5" customHeight="1" x14ac:dyDescent="0.35">
      <c r="A37" s="84" t="s">
        <v>321</v>
      </c>
      <c r="B37" s="83">
        <v>10</v>
      </c>
      <c r="C37" s="260">
        <v>1.9E-2</v>
      </c>
      <c r="D37" s="83">
        <v>10</v>
      </c>
      <c r="E37" s="85">
        <v>5</v>
      </c>
      <c r="F37" s="83">
        <v>5</v>
      </c>
      <c r="G37" s="255">
        <v>0</v>
      </c>
      <c r="H37" s="254">
        <v>5</v>
      </c>
      <c r="I37" s="55">
        <v>0.88</v>
      </c>
      <c r="J37" s="5"/>
      <c r="K37" s="180"/>
      <c r="L37" s="2"/>
      <c r="M37" s="134"/>
    </row>
    <row r="38" spans="1:13" ht="14.5" customHeight="1" x14ac:dyDescent="0.35">
      <c r="A38" s="84" t="s">
        <v>322</v>
      </c>
      <c r="B38" s="83">
        <v>5</v>
      </c>
      <c r="C38" s="260">
        <v>1.8000000000000002E-2</v>
      </c>
      <c r="D38" s="83">
        <v>5</v>
      </c>
      <c r="E38" s="85" t="s">
        <v>109</v>
      </c>
      <c r="F38" s="83" t="s">
        <v>109</v>
      </c>
      <c r="G38" s="255">
        <v>0</v>
      </c>
      <c r="H38" s="254">
        <v>13</v>
      </c>
      <c r="I38" s="55">
        <v>0.67</v>
      </c>
      <c r="J38" s="5"/>
      <c r="K38" s="180"/>
      <c r="L38" s="2"/>
      <c r="M38" s="134"/>
    </row>
    <row r="39" spans="1:13" ht="15.75" customHeight="1" x14ac:dyDescent="0.35">
      <c r="A39" s="84" t="s">
        <v>391</v>
      </c>
      <c r="B39" s="83">
        <v>10</v>
      </c>
      <c r="C39" s="260">
        <v>2.6000000000000002E-2</v>
      </c>
      <c r="D39" s="83">
        <v>10</v>
      </c>
      <c r="E39" s="85">
        <v>5</v>
      </c>
      <c r="F39" s="83">
        <v>5</v>
      </c>
      <c r="G39" s="255">
        <v>0</v>
      </c>
      <c r="H39" s="254">
        <v>9.5</v>
      </c>
      <c r="I39" s="55">
        <v>0.88</v>
      </c>
      <c r="J39" s="5"/>
      <c r="K39" s="5"/>
      <c r="L39" s="2"/>
      <c r="M39" s="2"/>
    </row>
    <row r="40" spans="1:13" ht="15.75" customHeight="1" x14ac:dyDescent="0.35">
      <c r="A40" s="84" t="s">
        <v>392</v>
      </c>
      <c r="B40" s="83">
        <v>5</v>
      </c>
      <c r="C40" s="260">
        <v>1.4999999999999999E-2</v>
      </c>
      <c r="D40" s="83">
        <v>10</v>
      </c>
      <c r="E40" s="85">
        <v>5</v>
      </c>
      <c r="F40" s="83">
        <v>5</v>
      </c>
      <c r="G40" s="255">
        <v>0</v>
      </c>
      <c r="H40" s="254">
        <v>10.5</v>
      </c>
      <c r="I40" s="55">
        <v>0.88</v>
      </c>
      <c r="J40" s="5"/>
      <c r="K40" s="5"/>
      <c r="L40" s="2"/>
      <c r="M40" s="2"/>
    </row>
    <row r="41" spans="1:13" ht="15.75" customHeight="1" x14ac:dyDescent="0.35">
      <c r="A41" s="84" t="s">
        <v>393</v>
      </c>
      <c r="B41" s="83">
        <v>10</v>
      </c>
      <c r="C41" s="260">
        <v>2.4E-2</v>
      </c>
      <c r="D41" s="83">
        <v>10</v>
      </c>
      <c r="E41" s="85">
        <v>5</v>
      </c>
      <c r="F41" s="83">
        <v>10</v>
      </c>
      <c r="G41" s="255">
        <v>0</v>
      </c>
      <c r="H41" s="254">
        <v>9</v>
      </c>
      <c r="I41" s="55">
        <v>1</v>
      </c>
      <c r="J41" s="5"/>
      <c r="K41" s="5"/>
      <c r="L41" s="2"/>
      <c r="M41" s="2"/>
    </row>
    <row r="42" spans="1:13" ht="15.75" customHeight="1" x14ac:dyDescent="0.35">
      <c r="A42" s="261" t="s">
        <v>410</v>
      </c>
      <c r="B42" s="83">
        <v>10</v>
      </c>
      <c r="C42" s="262">
        <v>2.9000000000000001E-2</v>
      </c>
      <c r="D42" s="83">
        <v>5</v>
      </c>
      <c r="E42" s="85">
        <v>5</v>
      </c>
      <c r="F42" s="83">
        <v>5</v>
      </c>
      <c r="G42" s="255">
        <v>0</v>
      </c>
      <c r="H42" s="254">
        <v>3</v>
      </c>
      <c r="I42" s="55">
        <v>1</v>
      </c>
      <c r="J42" s="5"/>
      <c r="K42" s="5"/>
      <c r="L42" s="2"/>
      <c r="M42" s="2"/>
    </row>
    <row r="43" spans="1:13" ht="15.75" customHeight="1" x14ac:dyDescent="0.35">
      <c r="A43" s="261" t="s">
        <v>411</v>
      </c>
      <c r="B43" s="83" t="s">
        <v>109</v>
      </c>
      <c r="C43" s="262">
        <v>3.0000000000000001E-3</v>
      </c>
      <c r="D43" s="83">
        <v>5</v>
      </c>
      <c r="E43" s="85" t="s">
        <v>109</v>
      </c>
      <c r="F43" s="83" t="s">
        <v>109</v>
      </c>
      <c r="G43" s="255">
        <v>0</v>
      </c>
      <c r="H43" s="254">
        <v>10</v>
      </c>
      <c r="I43" s="55">
        <v>0.75</v>
      </c>
      <c r="J43" s="5"/>
      <c r="K43" s="5"/>
      <c r="L43" s="2"/>
      <c r="M43" s="2"/>
    </row>
    <row r="44" spans="1:13" ht="15.75" customHeight="1" x14ac:dyDescent="0.35">
      <c r="A44" s="261" t="s">
        <v>412</v>
      </c>
      <c r="B44" s="83">
        <v>10</v>
      </c>
      <c r="C44" s="262">
        <v>3.1E-2</v>
      </c>
      <c r="D44" s="83">
        <v>5</v>
      </c>
      <c r="E44" s="85">
        <v>0</v>
      </c>
      <c r="F44" s="83">
        <v>5</v>
      </c>
      <c r="G44" s="255">
        <v>0</v>
      </c>
      <c r="H44" s="254">
        <v>9</v>
      </c>
      <c r="I44" s="55">
        <v>1</v>
      </c>
      <c r="J44" s="5"/>
      <c r="K44" s="5"/>
      <c r="L44" s="2"/>
      <c r="M44" s="2"/>
    </row>
    <row r="45" spans="1:13" ht="15.75" customHeight="1" x14ac:dyDescent="0.35">
      <c r="A45" s="45" t="s">
        <v>8</v>
      </c>
      <c r="B45" s="5"/>
      <c r="C45" s="5"/>
      <c r="D45" s="5"/>
      <c r="E45" s="5"/>
      <c r="F45" s="5"/>
      <c r="G45" s="5"/>
      <c r="H45" s="5"/>
      <c r="I45" s="5"/>
      <c r="J45" s="5"/>
      <c r="K45" s="5"/>
      <c r="L45" s="2"/>
      <c r="M45" s="2"/>
    </row>
    <row r="46" spans="1:13" ht="15.75" customHeight="1" x14ac:dyDescent="0.35">
      <c r="A46" s="45" t="s">
        <v>114</v>
      </c>
      <c r="B46" s="5"/>
      <c r="C46" s="5"/>
      <c r="D46" s="54"/>
      <c r="E46" s="5"/>
      <c r="F46" s="5"/>
      <c r="G46" s="5"/>
      <c r="H46" s="5"/>
      <c r="I46" s="5"/>
      <c r="M46" s="2"/>
    </row>
    <row r="47" spans="1:13" ht="186" x14ac:dyDescent="0.35">
      <c r="A47" s="138" t="s">
        <v>433</v>
      </c>
    </row>
    <row r="48" spans="1:13" ht="15.5" x14ac:dyDescent="0.35">
      <c r="A48" s="147" t="s">
        <v>434</v>
      </c>
    </row>
    <row r="49" spans="1:1" ht="15.5" x14ac:dyDescent="0.35">
      <c r="A49" s="30" t="s">
        <v>435</v>
      </c>
    </row>
    <row r="50" spans="1:1" ht="15.5" x14ac:dyDescent="0.35">
      <c r="A50" s="30" t="s">
        <v>436</v>
      </c>
    </row>
    <row r="51" spans="1:1" ht="15.5" x14ac:dyDescent="0.35">
      <c r="A51" s="30" t="s">
        <v>437</v>
      </c>
    </row>
  </sheetData>
  <conditionalFormatting sqref="H6">
    <cfRule type="dataBar" priority="26">
      <dataBar>
        <cfvo type="num" val="0"/>
        <cfvo type="num" val="1"/>
        <color theme="4" tint="-0.249977111117893"/>
      </dataBar>
      <extLst>
        <ext xmlns:x14="http://schemas.microsoft.com/office/spreadsheetml/2009/9/main" uri="{B025F937-C7B1-47D3-B67F-A62EFF666E3E}">
          <x14:id>{E85FC4A9-A7B9-423F-BDF2-53DA56810808}</x14:id>
        </ext>
      </extLst>
    </cfRule>
  </conditionalFormatting>
  <conditionalFormatting sqref="C8:C26 I12:I26 I30:I31 C30:C35">
    <cfRule type="dataBar" priority="10">
      <dataBar>
        <cfvo type="num" val="0"/>
        <cfvo type="num" val="1"/>
        <color rgb="FFB4A9D4"/>
      </dataBar>
      <extLst>
        <ext xmlns:x14="http://schemas.microsoft.com/office/spreadsheetml/2009/9/main" uri="{B025F937-C7B1-47D3-B67F-A62EFF666E3E}">
          <x14:id>{3FD7B3C8-6347-47A9-B9A8-A08A29F14ECE}</x14:id>
        </ext>
      </extLst>
    </cfRule>
  </conditionalFormatting>
  <conditionalFormatting sqref="I8:I10">
    <cfRule type="dataBar" priority="9">
      <dataBar>
        <cfvo type="num" val="0"/>
        <cfvo type="num" val="1"/>
        <color rgb="FFB4A9D4"/>
      </dataBar>
      <extLst>
        <ext xmlns:x14="http://schemas.microsoft.com/office/spreadsheetml/2009/9/main" uri="{B025F937-C7B1-47D3-B67F-A62EFF666E3E}">
          <x14:id>{BCB8ADA6-82EB-474A-9667-6B3ECEB0AFB7}</x14:id>
        </ext>
      </extLst>
    </cfRule>
  </conditionalFormatting>
  <conditionalFormatting sqref="I32:I35">
    <cfRule type="dataBar" priority="8">
      <dataBar>
        <cfvo type="num" val="0"/>
        <cfvo type="num" val="1"/>
        <color rgb="FFB4A9D4"/>
      </dataBar>
      <extLst>
        <ext xmlns:x14="http://schemas.microsoft.com/office/spreadsheetml/2009/9/main" uri="{B025F937-C7B1-47D3-B67F-A62EFF666E3E}">
          <x14:id>{6E82CAEE-0B74-4E67-B97B-6B4AE09CDD96}</x14:id>
        </ext>
      </extLst>
    </cfRule>
  </conditionalFormatting>
  <conditionalFormatting sqref="I11">
    <cfRule type="dataBar" priority="7">
      <dataBar>
        <cfvo type="num" val="0"/>
        <cfvo type="num" val="1"/>
        <color rgb="FFB4A9D4"/>
      </dataBar>
      <extLst>
        <ext xmlns:x14="http://schemas.microsoft.com/office/spreadsheetml/2009/9/main" uri="{B025F937-C7B1-47D3-B67F-A62EFF666E3E}">
          <x14:id>{654068B8-F970-46DB-939C-3E85884D8C12}</x14:id>
        </ext>
      </extLst>
    </cfRule>
  </conditionalFormatting>
  <conditionalFormatting sqref="I27:I28 C27:C29">
    <cfRule type="dataBar" priority="6">
      <dataBar>
        <cfvo type="num" val="0"/>
        <cfvo type="num" val="1"/>
        <color rgb="FFB4A9D4"/>
      </dataBar>
      <extLst>
        <ext xmlns:x14="http://schemas.microsoft.com/office/spreadsheetml/2009/9/main" uri="{B025F937-C7B1-47D3-B67F-A62EFF666E3E}">
          <x14:id>{9B451AA1-18C0-46BB-ADAE-1804668EDCF5}</x14:id>
        </ext>
      </extLst>
    </cfRule>
  </conditionalFormatting>
  <conditionalFormatting sqref="I36:I40">
    <cfRule type="dataBar" priority="5">
      <dataBar>
        <cfvo type="num" val="0"/>
        <cfvo type="num" val="1"/>
        <color rgb="FFB4A9D4"/>
      </dataBar>
      <extLst>
        <ext xmlns:x14="http://schemas.microsoft.com/office/spreadsheetml/2009/9/main" uri="{B025F937-C7B1-47D3-B67F-A62EFF666E3E}">
          <x14:id>{FC0C6B75-4256-4D7B-9308-CA1F8BF43E94}</x14:id>
        </ext>
      </extLst>
    </cfRule>
  </conditionalFormatting>
  <conditionalFormatting sqref="C7">
    <cfRule type="dataBar" priority="4">
      <dataBar>
        <cfvo type="num" val="0"/>
        <cfvo type="num" val="1"/>
        <color rgb="FFB4A9D4"/>
      </dataBar>
      <extLst>
        <ext xmlns:x14="http://schemas.microsoft.com/office/spreadsheetml/2009/9/main" uri="{B025F937-C7B1-47D3-B67F-A62EFF666E3E}">
          <x14:id>{A501E58C-0D5B-4987-BF7F-13EE67EF390B}</x14:id>
        </ext>
      </extLst>
    </cfRule>
  </conditionalFormatting>
  <conditionalFormatting sqref="I7">
    <cfRule type="dataBar" priority="3">
      <dataBar>
        <cfvo type="num" val="0"/>
        <cfvo type="num" val="1"/>
        <color rgb="FFB4A9D4"/>
      </dataBar>
      <extLst>
        <ext xmlns:x14="http://schemas.microsoft.com/office/spreadsheetml/2009/9/main" uri="{B025F937-C7B1-47D3-B67F-A62EFF666E3E}">
          <x14:id>{BEB78842-EAD6-4129-A261-EAA063D4B9C9}</x14:id>
        </ext>
      </extLst>
    </cfRule>
  </conditionalFormatting>
  <conditionalFormatting sqref="I29">
    <cfRule type="dataBar" priority="2">
      <dataBar>
        <cfvo type="num" val="0"/>
        <cfvo type="num" val="1"/>
        <color rgb="FFB4A9D4"/>
      </dataBar>
      <extLst>
        <ext xmlns:x14="http://schemas.microsoft.com/office/spreadsheetml/2009/9/main" uri="{B025F937-C7B1-47D3-B67F-A62EFF666E3E}">
          <x14:id>{9FBCD320-96C5-41CA-836F-5169CB33C24A}</x14:id>
        </ext>
      </extLst>
    </cfRule>
  </conditionalFormatting>
  <conditionalFormatting sqref="I41:I44">
    <cfRule type="dataBar" priority="1">
      <dataBar>
        <cfvo type="num" val="0"/>
        <cfvo type="num" val="1"/>
        <color rgb="FFB4A9D4"/>
      </dataBar>
      <extLst>
        <ext xmlns:x14="http://schemas.microsoft.com/office/spreadsheetml/2009/9/main" uri="{B025F937-C7B1-47D3-B67F-A62EFF666E3E}">
          <x14:id>{90D0DAAA-F7A8-42EE-97AA-2107D2E47D05}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85FC4A9-A7B9-423F-BDF2-53DA56810808}">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3FD7B3C8-6347-47A9-B9A8-A08A29F14ECE}">
            <x14:dataBar minLength="0" maxLength="100" gradient="0">
              <x14:cfvo type="num">
                <xm:f>0</xm:f>
              </x14:cfvo>
              <x14:cfvo type="num">
                <xm:f>1</xm:f>
              </x14:cfvo>
              <x14:negativeFillColor rgb="FFFF0000"/>
              <x14:axisColor rgb="FF000000"/>
            </x14:dataBar>
          </x14:cfRule>
          <xm:sqref>C8:C26 I12:I26 I30:I31 C30:C35</xm:sqref>
        </x14:conditionalFormatting>
        <x14:conditionalFormatting xmlns:xm="http://schemas.microsoft.com/office/excel/2006/main">
          <x14:cfRule type="dataBar" id="{BCB8ADA6-82EB-474A-9667-6B3ECEB0AFB7}">
            <x14:dataBar minLength="0" maxLength="100" gradient="0">
              <x14:cfvo type="num">
                <xm:f>0</xm:f>
              </x14:cfvo>
              <x14:cfvo type="num">
                <xm:f>1</xm:f>
              </x14:cfvo>
              <x14:negativeFillColor rgb="FFFF0000"/>
              <x14:axisColor rgb="FF000000"/>
            </x14:dataBar>
          </x14:cfRule>
          <xm:sqref>I8:I10</xm:sqref>
        </x14:conditionalFormatting>
        <x14:conditionalFormatting xmlns:xm="http://schemas.microsoft.com/office/excel/2006/main">
          <x14:cfRule type="dataBar" id="{6E82CAEE-0B74-4E67-B97B-6B4AE09CDD96}">
            <x14:dataBar minLength="0" maxLength="100" gradient="0">
              <x14:cfvo type="num">
                <xm:f>0</xm:f>
              </x14:cfvo>
              <x14:cfvo type="num">
                <xm:f>1</xm:f>
              </x14:cfvo>
              <x14:negativeFillColor rgb="FFFF0000"/>
              <x14:axisColor rgb="FF000000"/>
            </x14:dataBar>
          </x14:cfRule>
          <xm:sqref>I32:I35</xm:sqref>
        </x14:conditionalFormatting>
        <x14:conditionalFormatting xmlns:xm="http://schemas.microsoft.com/office/excel/2006/main">
          <x14:cfRule type="dataBar" id="{654068B8-F970-46DB-939C-3E85884D8C12}">
            <x14:dataBar minLength="0" maxLength="100" gradient="0">
              <x14:cfvo type="num">
                <xm:f>0</xm:f>
              </x14:cfvo>
              <x14:cfvo type="num">
                <xm:f>1</xm:f>
              </x14:cfvo>
              <x14:negativeFillColor rgb="FFFF0000"/>
              <x14:axisColor rgb="FF000000"/>
            </x14:dataBar>
          </x14:cfRule>
          <xm:sqref>I11</xm:sqref>
        </x14:conditionalFormatting>
        <x14:conditionalFormatting xmlns:xm="http://schemas.microsoft.com/office/excel/2006/main">
          <x14:cfRule type="dataBar" id="{9B451AA1-18C0-46BB-ADAE-1804668EDCF5}">
            <x14:dataBar minLength="0" maxLength="100" gradient="0">
              <x14:cfvo type="num">
                <xm:f>0</xm:f>
              </x14:cfvo>
              <x14:cfvo type="num">
                <xm:f>1</xm:f>
              </x14:cfvo>
              <x14:negativeFillColor rgb="FFFF0000"/>
              <x14:axisColor rgb="FF000000"/>
            </x14:dataBar>
          </x14:cfRule>
          <xm:sqref>I27:I28 C27:C29</xm:sqref>
        </x14:conditionalFormatting>
        <x14:conditionalFormatting xmlns:xm="http://schemas.microsoft.com/office/excel/2006/main">
          <x14:cfRule type="dataBar" id="{FC0C6B75-4256-4D7B-9308-CA1F8BF43E94}">
            <x14:dataBar minLength="0" maxLength="100" gradient="0">
              <x14:cfvo type="num">
                <xm:f>0</xm:f>
              </x14:cfvo>
              <x14:cfvo type="num">
                <xm:f>1</xm:f>
              </x14:cfvo>
              <x14:negativeFillColor rgb="FFFF0000"/>
              <x14:axisColor rgb="FF000000"/>
            </x14:dataBar>
          </x14:cfRule>
          <xm:sqref>I36:I40</xm:sqref>
        </x14:conditionalFormatting>
        <x14:conditionalFormatting xmlns:xm="http://schemas.microsoft.com/office/excel/2006/main">
          <x14:cfRule type="dataBar" id="{A501E58C-0D5B-4987-BF7F-13EE67EF390B}">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BEB78842-EAD6-4129-A261-EAA063D4B9C9}">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9FBCD320-96C5-41CA-836F-5169CB33C24A}">
            <x14:dataBar minLength="0" maxLength="100" gradient="0">
              <x14:cfvo type="num">
                <xm:f>0</xm:f>
              </x14:cfvo>
              <x14:cfvo type="num">
                <xm:f>1</xm:f>
              </x14:cfvo>
              <x14:negativeFillColor rgb="FFFF0000"/>
              <x14:axisColor rgb="FF000000"/>
            </x14:dataBar>
          </x14:cfRule>
          <xm:sqref>I29</xm:sqref>
        </x14:conditionalFormatting>
        <x14:conditionalFormatting xmlns:xm="http://schemas.microsoft.com/office/excel/2006/main">
          <x14:cfRule type="dataBar" id="{90D0DAAA-F7A8-42EE-97AA-2107D2E47D05}">
            <x14:dataBar minLength="0" maxLength="100" gradient="0">
              <x14:cfvo type="num">
                <xm:f>0</xm:f>
              </x14:cfvo>
              <x14:cfvo type="num">
                <xm:f>1</xm:f>
              </x14:cfvo>
              <x14:negativeFillColor rgb="FFFF0000"/>
              <x14:axisColor rgb="FF000000"/>
            </x14:dataBar>
          </x14:cfRule>
          <xm:sqref>I41:I44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K36"/>
  <sheetViews>
    <sheetView zoomScaleNormal="100" workbookViewId="0"/>
  </sheetViews>
  <sheetFormatPr defaultRowHeight="14.5" x14ac:dyDescent="0.35"/>
  <cols>
    <col min="1" max="1" width="86.453125" customWidth="1"/>
  </cols>
  <sheetData>
    <row r="1" spans="1:37" ht="21" x14ac:dyDescent="0.5">
      <c r="A1" s="24" t="s">
        <v>15</v>
      </c>
    </row>
    <row r="2" spans="1:37" ht="15.5" x14ac:dyDescent="0.35">
      <c r="A2" s="30" t="s">
        <v>308</v>
      </c>
    </row>
    <row r="3" spans="1:37" ht="46.5" x14ac:dyDescent="0.35">
      <c r="A3" s="138" t="s">
        <v>369</v>
      </c>
    </row>
    <row r="4" spans="1:37" x14ac:dyDescent="0.35">
      <c r="AF4" s="2"/>
      <c r="AG4" s="2"/>
      <c r="AH4" s="2"/>
      <c r="AI4" s="2"/>
    </row>
    <row r="5" spans="1:37" x14ac:dyDescent="0.35">
      <c r="AF5" s="2"/>
      <c r="AG5" s="2"/>
      <c r="AH5" s="2"/>
      <c r="AI5" s="2"/>
    </row>
    <row r="6" spans="1:37" x14ac:dyDescent="0.35">
      <c r="AF6" s="2"/>
      <c r="AG6" s="2"/>
      <c r="AH6" s="2"/>
      <c r="AI6" s="2"/>
    </row>
    <row r="7" spans="1:37" x14ac:dyDescent="0.35">
      <c r="AF7" s="2"/>
      <c r="AG7" s="2"/>
      <c r="AH7" s="2"/>
      <c r="AI7" s="2"/>
    </row>
    <row r="8" spans="1:37" x14ac:dyDescent="0.35">
      <c r="AF8" s="2"/>
      <c r="AG8" s="2"/>
      <c r="AH8" s="2"/>
      <c r="AI8" s="2"/>
    </row>
    <row r="9" spans="1:37" x14ac:dyDescent="0.35">
      <c r="AF9" s="2"/>
      <c r="AG9" s="2"/>
      <c r="AH9" s="2"/>
      <c r="AI9" s="2"/>
    </row>
    <row r="10" spans="1:37" x14ac:dyDescent="0.35">
      <c r="AE10" s="2"/>
      <c r="AF10" s="2"/>
      <c r="AG10" s="2"/>
      <c r="AH10" s="2"/>
      <c r="AI10" s="2"/>
      <c r="AJ10" s="2"/>
      <c r="AK10" s="2"/>
    </row>
    <row r="11" spans="1:37" x14ac:dyDescent="0.35">
      <c r="AD11" s="290"/>
      <c r="AE11" s="59"/>
      <c r="AF11" s="2"/>
      <c r="AG11" s="2"/>
      <c r="AH11" s="2"/>
      <c r="AI11" s="2"/>
      <c r="AJ11" s="2"/>
      <c r="AK11" s="2"/>
    </row>
    <row r="12" spans="1:37" x14ac:dyDescent="0.35">
      <c r="AD12" s="290"/>
      <c r="AE12" s="59"/>
      <c r="AF12" s="2"/>
      <c r="AG12" s="2"/>
      <c r="AH12" s="2"/>
      <c r="AI12" s="2"/>
      <c r="AJ12" s="2"/>
      <c r="AK12" s="2"/>
    </row>
    <row r="13" spans="1:37" x14ac:dyDescent="0.35">
      <c r="AD13" s="290"/>
      <c r="AE13" s="59"/>
      <c r="AF13" s="2"/>
      <c r="AG13" s="2"/>
      <c r="AH13" s="2"/>
      <c r="AI13" s="2"/>
      <c r="AJ13" s="2"/>
      <c r="AK13" s="2"/>
    </row>
    <row r="14" spans="1:37" x14ac:dyDescent="0.35">
      <c r="AD14" s="290"/>
      <c r="AE14" s="59"/>
      <c r="AF14" s="2"/>
      <c r="AG14" s="2"/>
      <c r="AH14" s="2"/>
      <c r="AI14" s="2"/>
      <c r="AJ14" s="2"/>
      <c r="AK14" s="2"/>
    </row>
    <row r="15" spans="1:37" x14ac:dyDescent="0.35">
      <c r="AD15" s="290"/>
      <c r="AE15" s="59"/>
      <c r="AF15" s="2"/>
      <c r="AG15" s="2"/>
      <c r="AH15" s="2"/>
      <c r="AI15" s="2"/>
      <c r="AJ15" s="2"/>
      <c r="AK15" s="2"/>
    </row>
    <row r="16" spans="1:37" x14ac:dyDescent="0.35">
      <c r="AD16" s="290"/>
      <c r="AE16" s="59"/>
      <c r="AF16" s="2"/>
      <c r="AG16" s="2"/>
      <c r="AH16" s="2"/>
      <c r="AI16" s="2"/>
      <c r="AJ16" s="2"/>
      <c r="AK16" s="2"/>
    </row>
    <row r="17" spans="30:37" x14ac:dyDescent="0.35">
      <c r="AD17" s="290"/>
      <c r="AE17" s="59"/>
      <c r="AF17" s="2"/>
      <c r="AG17" s="2"/>
      <c r="AH17" s="2"/>
      <c r="AI17" s="2"/>
      <c r="AJ17" s="2"/>
      <c r="AK17" s="2"/>
    </row>
    <row r="18" spans="30:37" x14ac:dyDescent="0.35">
      <c r="AD18" s="290"/>
      <c r="AE18" s="59"/>
      <c r="AF18" s="2"/>
      <c r="AG18" s="2"/>
      <c r="AH18" s="2"/>
      <c r="AI18" s="2"/>
      <c r="AJ18" s="2"/>
      <c r="AK18" s="2"/>
    </row>
    <row r="19" spans="30:37" x14ac:dyDescent="0.35">
      <c r="AD19" s="290"/>
      <c r="AE19" s="59"/>
      <c r="AF19" s="2"/>
      <c r="AG19" s="2"/>
      <c r="AH19" s="2"/>
      <c r="AI19" s="2"/>
      <c r="AJ19" s="2"/>
      <c r="AK19" s="2"/>
    </row>
    <row r="20" spans="30:37" x14ac:dyDescent="0.35">
      <c r="AD20" s="290"/>
      <c r="AE20" s="59"/>
      <c r="AF20" s="2"/>
      <c r="AG20" s="2"/>
      <c r="AH20" s="2"/>
      <c r="AI20" s="2"/>
      <c r="AJ20" s="2"/>
      <c r="AK20" s="2"/>
    </row>
    <row r="21" spans="30:37" x14ac:dyDescent="0.35">
      <c r="AD21" s="290"/>
      <c r="AE21" s="59"/>
      <c r="AF21" s="2"/>
      <c r="AG21" s="2"/>
      <c r="AH21" s="2"/>
      <c r="AI21" s="2"/>
      <c r="AJ21" s="2"/>
      <c r="AK21" s="2"/>
    </row>
    <row r="22" spans="30:37" x14ac:dyDescent="0.35">
      <c r="AD22" s="290"/>
      <c r="AE22" s="59"/>
      <c r="AF22" s="2"/>
      <c r="AG22" s="2"/>
      <c r="AH22" s="2"/>
      <c r="AI22" s="2"/>
      <c r="AJ22" s="2"/>
      <c r="AK22" s="2"/>
    </row>
    <row r="23" spans="30:37" x14ac:dyDescent="0.35">
      <c r="AD23" s="290"/>
      <c r="AE23" s="59"/>
      <c r="AF23" s="2"/>
      <c r="AG23" s="2"/>
      <c r="AH23" s="2"/>
      <c r="AI23" s="2"/>
      <c r="AJ23" s="2"/>
      <c r="AK23" s="2"/>
    </row>
    <row r="24" spans="30:37" x14ac:dyDescent="0.35">
      <c r="AD24" s="290"/>
      <c r="AE24" s="59"/>
      <c r="AF24" s="2"/>
      <c r="AG24" s="2"/>
      <c r="AH24" s="2"/>
      <c r="AI24" s="2"/>
      <c r="AJ24" s="2"/>
      <c r="AK24" s="2"/>
    </row>
    <row r="25" spans="30:37" x14ac:dyDescent="0.35">
      <c r="AD25" s="290"/>
      <c r="AE25" s="59"/>
      <c r="AF25" s="2"/>
      <c r="AG25" s="2"/>
      <c r="AH25" s="2"/>
      <c r="AI25" s="2"/>
      <c r="AJ25" s="2"/>
      <c r="AK25" s="2"/>
    </row>
    <row r="26" spans="30:37" x14ac:dyDescent="0.35">
      <c r="AD26" s="291"/>
      <c r="AE26" s="59"/>
      <c r="AF26" s="2"/>
      <c r="AG26" s="2"/>
      <c r="AH26" s="2"/>
      <c r="AI26" s="2"/>
      <c r="AJ26" s="2"/>
      <c r="AK26" s="2"/>
    </row>
    <row r="27" spans="30:37" x14ac:dyDescent="0.35">
      <c r="AD27" s="291"/>
      <c r="AE27" s="59"/>
      <c r="AF27" s="2"/>
      <c r="AG27" s="2"/>
      <c r="AH27" s="2"/>
      <c r="AI27" s="2"/>
      <c r="AJ27" s="2"/>
      <c r="AK27" s="2"/>
    </row>
    <row r="28" spans="30:37" x14ac:dyDescent="0.35">
      <c r="AD28" s="291"/>
      <c r="AE28" s="59"/>
      <c r="AF28" s="2"/>
      <c r="AG28" s="2"/>
      <c r="AH28" s="2"/>
      <c r="AI28" s="2"/>
      <c r="AJ28" s="2"/>
      <c r="AK28" s="2"/>
    </row>
    <row r="29" spans="30:37" x14ac:dyDescent="0.35">
      <c r="AD29" s="291"/>
      <c r="AE29" s="59"/>
      <c r="AF29" s="2"/>
      <c r="AG29" s="2"/>
      <c r="AH29" s="2"/>
      <c r="AI29" s="2"/>
      <c r="AJ29" s="2"/>
      <c r="AK29" s="2"/>
    </row>
    <row r="30" spans="30:37" x14ac:dyDescent="0.35">
      <c r="AD30" s="291"/>
      <c r="AE30" s="59"/>
      <c r="AF30" s="2"/>
      <c r="AG30" s="2"/>
      <c r="AH30" s="2"/>
      <c r="AI30" s="2"/>
      <c r="AJ30" s="2"/>
      <c r="AK30" s="2"/>
    </row>
    <row r="31" spans="30:37" x14ac:dyDescent="0.35">
      <c r="AD31" s="291"/>
      <c r="AE31" s="59"/>
      <c r="AF31" s="2"/>
      <c r="AG31" s="2"/>
      <c r="AH31" s="2"/>
      <c r="AI31" s="2"/>
      <c r="AJ31" s="2"/>
      <c r="AK31" s="2"/>
    </row>
    <row r="32" spans="30:37" x14ac:dyDescent="0.35">
      <c r="AD32" s="291"/>
      <c r="AE32" s="59"/>
      <c r="AF32" s="2"/>
      <c r="AG32" s="2"/>
      <c r="AH32" s="2"/>
      <c r="AI32" s="2"/>
      <c r="AJ32" s="2"/>
      <c r="AK32" s="2"/>
    </row>
    <row r="33" spans="31:37" x14ac:dyDescent="0.35">
      <c r="AE33" s="2"/>
      <c r="AF33" s="2"/>
      <c r="AG33" s="2"/>
      <c r="AH33" s="2"/>
      <c r="AI33" s="2"/>
      <c r="AJ33" s="2"/>
      <c r="AK33" s="2"/>
    </row>
    <row r="34" spans="31:37" x14ac:dyDescent="0.35">
      <c r="AE34" s="2"/>
      <c r="AF34" s="2"/>
      <c r="AG34" s="2"/>
      <c r="AH34" s="2"/>
      <c r="AI34" s="2"/>
      <c r="AJ34" s="2"/>
      <c r="AK34" s="2"/>
    </row>
    <row r="35" spans="31:37" x14ac:dyDescent="0.35">
      <c r="AE35" s="2"/>
      <c r="AF35" s="2"/>
      <c r="AG35" s="2"/>
      <c r="AH35" s="2"/>
      <c r="AI35" s="2"/>
      <c r="AJ35" s="2"/>
      <c r="AK35" s="2"/>
    </row>
    <row r="36" spans="31:37" x14ac:dyDescent="0.35">
      <c r="AE36" s="2"/>
      <c r="AF36" s="2"/>
      <c r="AG36" s="2"/>
      <c r="AH36" s="2"/>
      <c r="AI36" s="2"/>
      <c r="AJ36" s="2"/>
      <c r="AK36" s="2"/>
    </row>
  </sheetData>
  <mergeCells count="3">
    <mergeCell ref="AD11:AD13"/>
    <mergeCell ref="AD14:AD25"/>
    <mergeCell ref="AD26:AD3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H18" sqref="H18"/>
    </sheetView>
  </sheetViews>
  <sheetFormatPr defaultColWidth="9.1796875" defaultRowHeight="14.5" x14ac:dyDescent="0.35"/>
  <cols>
    <col min="1" max="1" width="21.1796875" style="133" customWidth="1"/>
    <col min="2" max="2" width="11.81640625" style="133" customWidth="1"/>
    <col min="3" max="3" width="12.81640625" style="133" customWidth="1"/>
    <col min="4" max="5" width="12" style="133" customWidth="1"/>
    <col min="6" max="6" width="12.81640625" style="133" customWidth="1"/>
    <col min="7" max="7" width="12.7265625" style="133" customWidth="1"/>
    <col min="8" max="8" width="15.81640625" style="133" customWidth="1"/>
    <col min="9" max="9" width="11.81640625" style="133" customWidth="1"/>
    <col min="10" max="10" width="13" style="133" customWidth="1"/>
    <col min="11" max="11" width="9.1796875" style="133"/>
    <col min="12" max="12" width="12" style="133" customWidth="1"/>
    <col min="13" max="16384" width="9.1796875" style="133"/>
  </cols>
  <sheetData>
    <row r="1" spans="1:12" ht="58" x14ac:dyDescent="0.35">
      <c r="A1" s="170" t="s">
        <v>267</v>
      </c>
      <c r="B1" s="170" t="s">
        <v>258</v>
      </c>
      <c r="C1" s="170" t="s">
        <v>113</v>
      </c>
      <c r="D1" s="170" t="s">
        <v>116</v>
      </c>
      <c r="E1" s="170" t="s">
        <v>62</v>
      </c>
      <c r="F1" s="170" t="s">
        <v>106</v>
      </c>
      <c r="G1" s="170" t="s">
        <v>107</v>
      </c>
      <c r="H1" s="170" t="s">
        <v>65</v>
      </c>
      <c r="I1" s="170" t="s">
        <v>66</v>
      </c>
      <c r="J1" s="170" t="s">
        <v>108</v>
      </c>
      <c r="L1" s="163" t="s">
        <v>259</v>
      </c>
    </row>
    <row r="2" spans="1:12" x14ac:dyDescent="0.35">
      <c r="A2" s="171" t="s">
        <v>273</v>
      </c>
      <c r="B2" s="165">
        <v>790</v>
      </c>
      <c r="C2" s="166">
        <v>0.45</v>
      </c>
      <c r="D2" s="165">
        <v>630</v>
      </c>
      <c r="E2" s="165">
        <v>570</v>
      </c>
      <c r="F2" s="165">
        <v>55</v>
      </c>
      <c r="G2" s="165">
        <v>10</v>
      </c>
      <c r="H2" s="166">
        <v>0.9</v>
      </c>
      <c r="I2" s="166">
        <v>0.09</v>
      </c>
      <c r="J2" s="166">
        <v>0.01</v>
      </c>
      <c r="L2" s="133" t="s">
        <v>260</v>
      </c>
    </row>
    <row r="3" spans="1:12" x14ac:dyDescent="0.35">
      <c r="A3" s="171" t="s">
        <v>274</v>
      </c>
      <c r="B3" s="165">
        <v>1220</v>
      </c>
      <c r="C3" s="166">
        <v>0.36</v>
      </c>
      <c r="D3" s="165">
        <v>1290</v>
      </c>
      <c r="E3" s="165">
        <v>940</v>
      </c>
      <c r="F3" s="165">
        <v>340</v>
      </c>
      <c r="G3" s="165">
        <v>10</v>
      </c>
      <c r="H3" s="166">
        <v>0.73</v>
      </c>
      <c r="I3" s="166">
        <v>0.26</v>
      </c>
      <c r="J3" s="166">
        <v>0.01</v>
      </c>
      <c r="L3" s="133" t="s">
        <v>261</v>
      </c>
    </row>
    <row r="4" spans="1:12" x14ac:dyDescent="0.35">
      <c r="A4" s="171" t="s">
        <v>275</v>
      </c>
      <c r="B4" s="165">
        <v>1200</v>
      </c>
      <c r="C4" s="166">
        <v>0.31</v>
      </c>
      <c r="D4" s="165">
        <v>1155</v>
      </c>
      <c r="E4" s="165">
        <v>840</v>
      </c>
      <c r="F4" s="165">
        <v>310</v>
      </c>
      <c r="G4" s="165">
        <v>5</v>
      </c>
      <c r="H4" s="166">
        <v>0.73</v>
      </c>
      <c r="I4" s="166">
        <v>0.27</v>
      </c>
      <c r="J4" s="166">
        <v>0.01</v>
      </c>
      <c r="L4" s="133" t="s">
        <v>262</v>
      </c>
    </row>
    <row r="5" spans="1:12" x14ac:dyDescent="0.35">
      <c r="A5" s="171" t="s">
        <v>325</v>
      </c>
      <c r="B5" s="165">
        <v>810</v>
      </c>
      <c r="C5" s="166">
        <v>0.33</v>
      </c>
      <c r="D5" s="165">
        <v>740</v>
      </c>
      <c r="E5" s="165">
        <v>570</v>
      </c>
      <c r="F5" s="165">
        <v>160</v>
      </c>
      <c r="G5" s="165">
        <v>10</v>
      </c>
      <c r="H5" s="166">
        <v>0.77</v>
      </c>
      <c r="I5" s="166">
        <v>0.22</v>
      </c>
      <c r="J5" s="166">
        <v>0.01</v>
      </c>
      <c r="L5" s="167" t="s">
        <v>324</v>
      </c>
    </row>
    <row r="6" spans="1:12" x14ac:dyDescent="0.35">
      <c r="A6" s="171" t="s">
        <v>276</v>
      </c>
      <c r="B6" s="165">
        <v>4020</v>
      </c>
      <c r="C6" s="166">
        <v>0.35</v>
      </c>
      <c r="D6" s="165">
        <v>3815</v>
      </c>
      <c r="E6" s="165">
        <v>2920</v>
      </c>
      <c r="F6" s="165">
        <v>865</v>
      </c>
      <c r="G6" s="165">
        <v>35</v>
      </c>
      <c r="H6" s="166">
        <v>0.76</v>
      </c>
      <c r="I6" s="166">
        <v>0.23</v>
      </c>
      <c r="J6" s="166">
        <v>0.01</v>
      </c>
      <c r="L6" s="133" t="s">
        <v>78</v>
      </c>
    </row>
    <row r="7" spans="1:12" x14ac:dyDescent="0.35">
      <c r="A7" s="171" t="s">
        <v>277</v>
      </c>
      <c r="B7" s="165">
        <v>620</v>
      </c>
      <c r="C7" s="166">
        <v>0.35</v>
      </c>
      <c r="D7" s="165">
        <v>495</v>
      </c>
      <c r="E7" s="165">
        <v>400</v>
      </c>
      <c r="F7" s="165">
        <v>75</v>
      </c>
      <c r="G7" s="165">
        <v>15</v>
      </c>
      <c r="H7" s="166">
        <v>0.81</v>
      </c>
      <c r="I7" s="166">
        <v>0.15</v>
      </c>
      <c r="J7" s="166">
        <v>0.03</v>
      </c>
    </row>
    <row r="8" spans="1:12" x14ac:dyDescent="0.35">
      <c r="A8" s="171" t="s">
        <v>278</v>
      </c>
      <c r="B8" s="165">
        <v>1320</v>
      </c>
      <c r="C8" s="166">
        <v>0.39</v>
      </c>
      <c r="D8" s="165">
        <v>1350</v>
      </c>
      <c r="E8" s="165">
        <v>865</v>
      </c>
      <c r="F8" s="165">
        <v>450</v>
      </c>
      <c r="G8" s="165">
        <v>35</v>
      </c>
      <c r="H8" s="166">
        <v>0.64</v>
      </c>
      <c r="I8" s="166">
        <v>0.33</v>
      </c>
      <c r="J8" s="166">
        <v>0.03</v>
      </c>
    </row>
    <row r="9" spans="1:12" x14ac:dyDescent="0.35">
      <c r="A9" s="171" t="s">
        <v>279</v>
      </c>
      <c r="B9" s="165">
        <v>1505</v>
      </c>
      <c r="C9" s="166">
        <v>0.38</v>
      </c>
      <c r="D9" s="165">
        <v>1445</v>
      </c>
      <c r="E9" s="165">
        <v>975</v>
      </c>
      <c r="F9" s="165">
        <v>445</v>
      </c>
      <c r="G9" s="165">
        <v>20</v>
      </c>
      <c r="H9" s="166">
        <v>0.68</v>
      </c>
      <c r="I9" s="166">
        <v>0.31</v>
      </c>
      <c r="J9" s="166">
        <v>0.02</v>
      </c>
      <c r="L9" s="162"/>
    </row>
    <row r="10" spans="1:12" x14ac:dyDescent="0.35">
      <c r="A10" s="171" t="s">
        <v>326</v>
      </c>
      <c r="B10" s="165">
        <v>885</v>
      </c>
      <c r="C10" s="166">
        <v>0.36</v>
      </c>
      <c r="D10" s="165">
        <v>855</v>
      </c>
      <c r="E10" s="165">
        <v>600</v>
      </c>
      <c r="F10" s="165">
        <v>245</v>
      </c>
      <c r="G10" s="165">
        <v>10</v>
      </c>
      <c r="H10" s="166">
        <v>0.7</v>
      </c>
      <c r="I10" s="166">
        <v>0.28999999999999998</v>
      </c>
      <c r="J10" s="166">
        <v>0.01</v>
      </c>
      <c r="L10" s="162"/>
    </row>
    <row r="11" spans="1:12" x14ac:dyDescent="0.35">
      <c r="A11" s="171" t="s">
        <v>280</v>
      </c>
      <c r="B11" s="165">
        <v>4330</v>
      </c>
      <c r="C11" s="166">
        <v>0.38</v>
      </c>
      <c r="D11" s="165">
        <v>4145</v>
      </c>
      <c r="E11" s="165">
        <v>2845</v>
      </c>
      <c r="F11" s="165">
        <v>1215</v>
      </c>
      <c r="G11" s="165">
        <v>85</v>
      </c>
      <c r="H11" s="166">
        <v>0.69</v>
      </c>
      <c r="I11" s="166">
        <v>0.28999999999999998</v>
      </c>
      <c r="J11" s="166">
        <v>0.02</v>
      </c>
    </row>
    <row r="12" spans="1:12" x14ac:dyDescent="0.35">
      <c r="A12" s="171" t="s">
        <v>281</v>
      </c>
      <c r="B12" s="165">
        <v>310</v>
      </c>
      <c r="C12" s="166">
        <v>0.18</v>
      </c>
      <c r="D12" s="165">
        <v>255</v>
      </c>
      <c r="E12" s="165">
        <v>215</v>
      </c>
      <c r="F12" s="165">
        <v>30</v>
      </c>
      <c r="G12" s="165">
        <v>10</v>
      </c>
      <c r="H12" s="166">
        <v>0.85</v>
      </c>
      <c r="I12" s="166">
        <v>0.11</v>
      </c>
      <c r="J12" s="166">
        <v>0.04</v>
      </c>
    </row>
    <row r="13" spans="1:12" x14ac:dyDescent="0.35">
      <c r="A13" s="171" t="s">
        <v>282</v>
      </c>
      <c r="B13" s="165">
        <v>735</v>
      </c>
      <c r="C13" s="166">
        <v>0.22</v>
      </c>
      <c r="D13" s="165">
        <v>735</v>
      </c>
      <c r="E13" s="165">
        <v>485</v>
      </c>
      <c r="F13" s="165">
        <v>240</v>
      </c>
      <c r="G13" s="165">
        <v>10</v>
      </c>
      <c r="H13" s="166">
        <v>0.66</v>
      </c>
      <c r="I13" s="166">
        <v>0.33</v>
      </c>
      <c r="J13" s="166">
        <v>0.01</v>
      </c>
    </row>
    <row r="14" spans="1:12" x14ac:dyDescent="0.35">
      <c r="A14" s="171" t="s">
        <v>283</v>
      </c>
      <c r="B14" s="165">
        <v>1135</v>
      </c>
      <c r="C14" s="166">
        <v>0.28999999999999998</v>
      </c>
      <c r="D14" s="165">
        <v>1050</v>
      </c>
      <c r="E14" s="165">
        <v>670</v>
      </c>
      <c r="F14" s="165">
        <v>330</v>
      </c>
      <c r="G14" s="165">
        <v>50</v>
      </c>
      <c r="H14" s="166">
        <v>0.64</v>
      </c>
      <c r="I14" s="166">
        <v>0.31</v>
      </c>
      <c r="J14" s="166">
        <v>0.05</v>
      </c>
    </row>
    <row r="15" spans="1:12" x14ac:dyDescent="0.35">
      <c r="A15" s="171" t="s">
        <v>327</v>
      </c>
      <c r="B15" s="165">
        <v>665</v>
      </c>
      <c r="C15" s="166">
        <v>0.27</v>
      </c>
      <c r="D15" s="165">
        <v>670</v>
      </c>
      <c r="E15" s="165">
        <v>460</v>
      </c>
      <c r="F15" s="165">
        <v>195</v>
      </c>
      <c r="G15" s="165">
        <v>20</v>
      </c>
      <c r="H15" s="166">
        <v>0.69</v>
      </c>
      <c r="I15" s="166">
        <v>0.28999999999999998</v>
      </c>
      <c r="J15" s="166">
        <v>0.03</v>
      </c>
    </row>
    <row r="16" spans="1:12" x14ac:dyDescent="0.35">
      <c r="A16" s="171" t="s">
        <v>284</v>
      </c>
      <c r="B16" s="165">
        <v>2850</v>
      </c>
      <c r="C16" s="166">
        <v>0.25</v>
      </c>
      <c r="D16" s="165">
        <v>2710</v>
      </c>
      <c r="E16" s="165">
        <v>1830</v>
      </c>
      <c r="F16" s="165">
        <v>795</v>
      </c>
      <c r="G16" s="165">
        <v>85</v>
      </c>
      <c r="H16" s="166">
        <v>0.68</v>
      </c>
      <c r="I16" s="166">
        <v>0.28999999999999998</v>
      </c>
      <c r="J16" s="166">
        <v>0.03</v>
      </c>
    </row>
    <row r="17" spans="1:10" x14ac:dyDescent="0.35">
      <c r="A17" s="171" t="s">
        <v>263</v>
      </c>
      <c r="B17" s="165">
        <v>30</v>
      </c>
      <c r="C17" s="166">
        <v>0.02</v>
      </c>
      <c r="D17" s="165">
        <v>25</v>
      </c>
      <c r="E17" s="165">
        <v>0</v>
      </c>
      <c r="F17" s="165">
        <v>15</v>
      </c>
      <c r="G17" s="165">
        <v>10</v>
      </c>
      <c r="H17" s="166">
        <v>0</v>
      </c>
      <c r="I17" s="166">
        <v>0.65</v>
      </c>
      <c r="J17" s="166">
        <v>0.35</v>
      </c>
    </row>
    <row r="18" spans="1:10" x14ac:dyDescent="0.35">
      <c r="A18" s="171" t="s">
        <v>264</v>
      </c>
      <c r="B18" s="165">
        <v>100</v>
      </c>
      <c r="C18" s="166">
        <v>0.03</v>
      </c>
      <c r="D18" s="165">
        <v>100</v>
      </c>
      <c r="E18" s="165" t="s">
        <v>109</v>
      </c>
      <c r="F18" s="165">
        <v>85</v>
      </c>
      <c r="G18" s="165">
        <v>15</v>
      </c>
      <c r="H18" s="166" t="s">
        <v>109</v>
      </c>
      <c r="I18" s="166">
        <v>0.84</v>
      </c>
      <c r="J18" s="268" t="s">
        <v>109</v>
      </c>
    </row>
    <row r="19" spans="1:10" x14ac:dyDescent="0.35">
      <c r="A19" s="171" t="s">
        <v>265</v>
      </c>
      <c r="B19" s="165">
        <v>90</v>
      </c>
      <c r="C19" s="166">
        <v>0.02</v>
      </c>
      <c r="D19" s="165">
        <v>75</v>
      </c>
      <c r="E19" s="165">
        <v>0</v>
      </c>
      <c r="F19" s="165">
        <v>70</v>
      </c>
      <c r="G19" s="165">
        <v>5</v>
      </c>
      <c r="H19" s="166">
        <v>0</v>
      </c>
      <c r="I19" s="166">
        <v>0.92</v>
      </c>
      <c r="J19" s="268">
        <v>0.08</v>
      </c>
    </row>
    <row r="20" spans="1:10" x14ac:dyDescent="0.35">
      <c r="A20" s="171" t="s">
        <v>328</v>
      </c>
      <c r="B20" s="165">
        <v>70</v>
      </c>
      <c r="C20" s="166">
        <v>0.03</v>
      </c>
      <c r="D20" s="165">
        <v>60</v>
      </c>
      <c r="E20" s="165">
        <v>0</v>
      </c>
      <c r="F20" s="165">
        <v>55</v>
      </c>
      <c r="G20" s="165">
        <v>5</v>
      </c>
      <c r="H20" s="166">
        <v>0</v>
      </c>
      <c r="I20" s="166">
        <v>0.95</v>
      </c>
      <c r="J20" s="268">
        <v>0.05</v>
      </c>
    </row>
    <row r="21" spans="1:10" x14ac:dyDescent="0.35">
      <c r="A21" s="171" t="s">
        <v>266</v>
      </c>
      <c r="B21" s="165">
        <v>290</v>
      </c>
      <c r="C21" s="166">
        <v>0.03</v>
      </c>
      <c r="D21" s="165">
        <v>260</v>
      </c>
      <c r="E21" s="165" t="s">
        <v>109</v>
      </c>
      <c r="F21" s="165">
        <v>225</v>
      </c>
      <c r="G21" s="165">
        <v>35</v>
      </c>
      <c r="H21" s="166" t="s">
        <v>109</v>
      </c>
      <c r="I21" s="166">
        <v>0.87</v>
      </c>
      <c r="J21" s="268" t="s">
        <v>109</v>
      </c>
    </row>
    <row r="22" spans="1:10" x14ac:dyDescent="0.35">
      <c r="A22" s="171" t="s">
        <v>245</v>
      </c>
      <c r="B22" s="165">
        <v>1750</v>
      </c>
      <c r="C22" s="166">
        <v>1</v>
      </c>
      <c r="D22" s="165">
        <v>1405</v>
      </c>
      <c r="E22" s="165">
        <v>1185</v>
      </c>
      <c r="F22" s="165">
        <v>175</v>
      </c>
      <c r="G22" s="165">
        <v>45</v>
      </c>
      <c r="H22" s="166">
        <v>0.84</v>
      </c>
      <c r="I22" s="166">
        <v>0.12</v>
      </c>
      <c r="J22" s="268">
        <v>0.03</v>
      </c>
    </row>
    <row r="23" spans="1:10" x14ac:dyDescent="0.35">
      <c r="A23" s="171" t="s">
        <v>246</v>
      </c>
      <c r="B23" s="165">
        <v>3375</v>
      </c>
      <c r="C23" s="166">
        <v>1</v>
      </c>
      <c r="D23" s="165">
        <v>3470</v>
      </c>
      <c r="E23" s="165">
        <v>2290</v>
      </c>
      <c r="F23" s="165">
        <v>1115</v>
      </c>
      <c r="G23" s="165">
        <v>70</v>
      </c>
      <c r="H23" s="166">
        <v>0.66</v>
      </c>
      <c r="I23" s="166">
        <v>0.32</v>
      </c>
      <c r="J23" s="166">
        <v>0.02</v>
      </c>
    </row>
    <row r="24" spans="1:10" x14ac:dyDescent="0.35">
      <c r="A24" s="171" t="s">
        <v>247</v>
      </c>
      <c r="B24" s="165">
        <v>3935</v>
      </c>
      <c r="C24" s="166">
        <v>1</v>
      </c>
      <c r="D24" s="165">
        <v>3725</v>
      </c>
      <c r="E24" s="165">
        <v>2490</v>
      </c>
      <c r="F24" s="165">
        <v>1155</v>
      </c>
      <c r="G24" s="165">
        <v>85</v>
      </c>
      <c r="H24" s="166">
        <v>0.67</v>
      </c>
      <c r="I24" s="166">
        <v>0.31</v>
      </c>
      <c r="J24" s="166">
        <v>0.02</v>
      </c>
    </row>
    <row r="25" spans="1:10" x14ac:dyDescent="0.35">
      <c r="A25" s="171" t="s">
        <v>329</v>
      </c>
      <c r="B25" s="165">
        <v>2430</v>
      </c>
      <c r="C25" s="166">
        <v>1</v>
      </c>
      <c r="D25" s="165">
        <v>2325</v>
      </c>
      <c r="E25" s="165">
        <v>1630</v>
      </c>
      <c r="F25" s="165">
        <v>655</v>
      </c>
      <c r="G25" s="165">
        <v>40</v>
      </c>
      <c r="H25" s="166">
        <v>0.7</v>
      </c>
      <c r="I25" s="166">
        <v>0.28000000000000003</v>
      </c>
      <c r="J25" s="166">
        <v>0.02</v>
      </c>
    </row>
    <row r="26" spans="1:10" x14ac:dyDescent="0.35">
      <c r="A26" s="171" t="s">
        <v>248</v>
      </c>
      <c r="B26" s="165">
        <v>11490</v>
      </c>
      <c r="C26" s="166">
        <v>1</v>
      </c>
      <c r="D26" s="165">
        <v>10930</v>
      </c>
      <c r="E26" s="165">
        <v>7595</v>
      </c>
      <c r="F26" s="165">
        <v>3100</v>
      </c>
      <c r="G26" s="165">
        <v>235</v>
      </c>
      <c r="H26" s="166">
        <v>0.69</v>
      </c>
      <c r="I26" s="166">
        <v>0.28000000000000003</v>
      </c>
      <c r="J26" s="166">
        <v>0.02</v>
      </c>
    </row>
  </sheetData>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zoomScaleNormal="100" workbookViewId="0">
      <selection activeCell="F116" sqref="F116"/>
    </sheetView>
  </sheetViews>
  <sheetFormatPr defaultColWidth="40.54296875" defaultRowHeight="14.5" x14ac:dyDescent="0.35"/>
  <cols>
    <col min="1" max="1" width="46.81640625" style="133" customWidth="1"/>
    <col min="2" max="2" width="20.54296875" style="133" customWidth="1"/>
    <col min="3" max="3" width="19.54296875" style="133" customWidth="1"/>
    <col min="4" max="4" width="16.54296875" style="133" customWidth="1"/>
    <col min="5" max="5" width="18.54296875" style="133" customWidth="1"/>
    <col min="6" max="6" width="23.453125" style="133" customWidth="1"/>
    <col min="7" max="7" width="15.1796875" style="133" customWidth="1"/>
    <col min="8" max="8" width="22.7265625" style="133" customWidth="1"/>
    <col min="9" max="9" width="14.1796875" style="133" customWidth="1"/>
    <col min="10" max="10" width="16.1796875" style="133" customWidth="1"/>
    <col min="11" max="16384" width="40.54296875" style="133"/>
  </cols>
  <sheetData>
    <row r="1" spans="1:8" ht="55.5" customHeight="1" x14ac:dyDescent="0.35">
      <c r="A1" s="170" t="s">
        <v>257</v>
      </c>
      <c r="B1" s="170" t="s">
        <v>258</v>
      </c>
      <c r="C1" s="170" t="s">
        <v>113</v>
      </c>
      <c r="D1" s="170" t="s">
        <v>116</v>
      </c>
      <c r="E1" s="170" t="s">
        <v>62</v>
      </c>
      <c r="F1" s="170" t="s">
        <v>65</v>
      </c>
      <c r="H1" s="158" t="s">
        <v>259</v>
      </c>
    </row>
    <row r="2" spans="1:8" x14ac:dyDescent="0.35">
      <c r="A2" s="169" t="s">
        <v>117</v>
      </c>
      <c r="B2" s="165">
        <v>20</v>
      </c>
      <c r="C2" s="166">
        <v>0.01</v>
      </c>
      <c r="D2" s="165">
        <v>15</v>
      </c>
      <c r="E2" s="165">
        <v>15</v>
      </c>
      <c r="F2" s="166">
        <v>1</v>
      </c>
      <c r="H2" s="133" t="s">
        <v>260</v>
      </c>
    </row>
    <row r="3" spans="1:8" x14ac:dyDescent="0.35">
      <c r="A3" s="169" t="s">
        <v>118</v>
      </c>
      <c r="B3" s="165">
        <v>40</v>
      </c>
      <c r="C3" s="166">
        <v>0.01</v>
      </c>
      <c r="D3" s="165">
        <v>45</v>
      </c>
      <c r="E3" s="165">
        <v>30</v>
      </c>
      <c r="F3" s="166">
        <v>0.64</v>
      </c>
      <c r="H3" s="133" t="s">
        <v>261</v>
      </c>
    </row>
    <row r="4" spans="1:8" x14ac:dyDescent="0.35">
      <c r="A4" s="169" t="s">
        <v>119</v>
      </c>
      <c r="B4" s="165">
        <v>50</v>
      </c>
      <c r="C4" s="166">
        <v>0.01</v>
      </c>
      <c r="D4" s="165">
        <v>45</v>
      </c>
      <c r="E4" s="165">
        <v>30</v>
      </c>
      <c r="F4" s="166">
        <v>0.65</v>
      </c>
      <c r="H4" s="133" t="s">
        <v>262</v>
      </c>
    </row>
    <row r="5" spans="1:8" x14ac:dyDescent="0.35">
      <c r="A5" s="169" t="s">
        <v>332</v>
      </c>
      <c r="B5" s="165">
        <v>45</v>
      </c>
      <c r="C5" s="166">
        <v>0.02</v>
      </c>
      <c r="D5" s="165">
        <v>45</v>
      </c>
      <c r="E5" s="165">
        <v>35</v>
      </c>
      <c r="F5" s="166">
        <v>0.77</v>
      </c>
      <c r="H5" s="167" t="s">
        <v>324</v>
      </c>
    </row>
    <row r="6" spans="1:8" x14ac:dyDescent="0.35">
      <c r="A6" s="169" t="s">
        <v>120</v>
      </c>
      <c r="B6" s="165">
        <v>155</v>
      </c>
      <c r="C6" s="166">
        <v>0.01</v>
      </c>
      <c r="D6" s="165">
        <v>150</v>
      </c>
      <c r="E6" s="165">
        <v>105</v>
      </c>
      <c r="F6" s="166">
        <v>0.72</v>
      </c>
      <c r="H6" s="133" t="s">
        <v>78</v>
      </c>
    </row>
    <row r="7" spans="1:8" x14ac:dyDescent="0.35">
      <c r="A7" s="169" t="s">
        <v>121</v>
      </c>
      <c r="B7" s="165">
        <v>30</v>
      </c>
      <c r="C7" s="166">
        <v>0.02</v>
      </c>
      <c r="D7" s="165">
        <v>30</v>
      </c>
      <c r="E7" s="165">
        <v>25</v>
      </c>
      <c r="F7" s="166">
        <v>0.82</v>
      </c>
    </row>
    <row r="8" spans="1:8" x14ac:dyDescent="0.35">
      <c r="A8" s="169" t="s">
        <v>122</v>
      </c>
      <c r="B8" s="165">
        <v>60</v>
      </c>
      <c r="C8" s="166">
        <v>0.02</v>
      </c>
      <c r="D8" s="165">
        <v>60</v>
      </c>
      <c r="E8" s="165">
        <v>35</v>
      </c>
      <c r="F8" s="166">
        <v>0.61</v>
      </c>
    </row>
    <row r="9" spans="1:8" x14ac:dyDescent="0.35">
      <c r="A9" s="169" t="s">
        <v>123</v>
      </c>
      <c r="B9" s="165">
        <v>65</v>
      </c>
      <c r="C9" s="166">
        <v>0.02</v>
      </c>
      <c r="D9" s="165">
        <v>65</v>
      </c>
      <c r="E9" s="165">
        <v>40</v>
      </c>
      <c r="F9" s="166">
        <v>0.62</v>
      </c>
    </row>
    <row r="10" spans="1:8" x14ac:dyDescent="0.35">
      <c r="A10" s="169" t="s">
        <v>333</v>
      </c>
      <c r="B10" s="165">
        <v>40</v>
      </c>
      <c r="C10" s="166">
        <v>0.02</v>
      </c>
      <c r="D10" s="165">
        <v>35</v>
      </c>
      <c r="E10" s="165">
        <v>30</v>
      </c>
      <c r="F10" s="166">
        <v>0.82</v>
      </c>
      <c r="H10" s="162"/>
    </row>
    <row r="11" spans="1:8" x14ac:dyDescent="0.35">
      <c r="A11" s="169" t="s">
        <v>124</v>
      </c>
      <c r="B11" s="165">
        <v>200</v>
      </c>
      <c r="C11" s="166">
        <v>0.02</v>
      </c>
      <c r="D11" s="165">
        <v>190</v>
      </c>
      <c r="E11" s="165">
        <v>130</v>
      </c>
      <c r="F11" s="166">
        <v>0.68</v>
      </c>
    </row>
    <row r="12" spans="1:8" x14ac:dyDescent="0.35">
      <c r="A12" s="169" t="s">
        <v>125</v>
      </c>
      <c r="B12" s="165">
        <v>50</v>
      </c>
      <c r="C12" s="166">
        <v>0.03</v>
      </c>
      <c r="D12" s="165">
        <v>40</v>
      </c>
      <c r="E12" s="165">
        <v>30</v>
      </c>
      <c r="F12" s="166">
        <v>0.79</v>
      </c>
    </row>
    <row r="13" spans="1:8" x14ac:dyDescent="0.35">
      <c r="A13" s="169" t="s">
        <v>126</v>
      </c>
      <c r="B13" s="165">
        <v>85</v>
      </c>
      <c r="C13" s="166">
        <v>0.03</v>
      </c>
      <c r="D13" s="165">
        <v>95</v>
      </c>
      <c r="E13" s="165">
        <v>70</v>
      </c>
      <c r="F13" s="166">
        <v>0.72</v>
      </c>
    </row>
    <row r="14" spans="1:8" x14ac:dyDescent="0.35">
      <c r="A14" s="169" t="s">
        <v>127</v>
      </c>
      <c r="B14" s="165">
        <v>105</v>
      </c>
      <c r="C14" s="166">
        <v>0.03</v>
      </c>
      <c r="D14" s="165">
        <v>95</v>
      </c>
      <c r="E14" s="165">
        <v>65</v>
      </c>
      <c r="F14" s="166">
        <v>0.66</v>
      </c>
    </row>
    <row r="15" spans="1:8" x14ac:dyDescent="0.35">
      <c r="A15" s="169" t="s">
        <v>334</v>
      </c>
      <c r="B15" s="165">
        <v>60</v>
      </c>
      <c r="C15" s="166">
        <v>0.02</v>
      </c>
      <c r="D15" s="165">
        <v>65</v>
      </c>
      <c r="E15" s="165">
        <v>50</v>
      </c>
      <c r="F15" s="166">
        <v>0.76</v>
      </c>
    </row>
    <row r="16" spans="1:8" x14ac:dyDescent="0.35">
      <c r="A16" s="169" t="s">
        <v>128</v>
      </c>
      <c r="B16" s="165">
        <v>300</v>
      </c>
      <c r="C16" s="166">
        <v>0.03</v>
      </c>
      <c r="D16" s="165">
        <v>290</v>
      </c>
      <c r="E16" s="165">
        <v>210</v>
      </c>
      <c r="F16" s="166">
        <v>0.72</v>
      </c>
    </row>
    <row r="17" spans="1:6" x14ac:dyDescent="0.35">
      <c r="A17" s="169" t="s">
        <v>129</v>
      </c>
      <c r="B17" s="165">
        <v>45</v>
      </c>
      <c r="C17" s="166">
        <v>0.03</v>
      </c>
      <c r="D17" s="165">
        <v>35</v>
      </c>
      <c r="E17" s="165">
        <v>25</v>
      </c>
      <c r="F17" s="166">
        <v>0.69</v>
      </c>
    </row>
    <row r="18" spans="1:6" x14ac:dyDescent="0.35">
      <c r="A18" s="169" t="s">
        <v>130</v>
      </c>
      <c r="B18" s="165">
        <v>80</v>
      </c>
      <c r="C18" s="166">
        <v>0.02</v>
      </c>
      <c r="D18" s="165">
        <v>80</v>
      </c>
      <c r="E18" s="165">
        <v>60</v>
      </c>
      <c r="F18" s="166">
        <v>0.74</v>
      </c>
    </row>
    <row r="19" spans="1:6" x14ac:dyDescent="0.35">
      <c r="A19" s="169" t="s">
        <v>131</v>
      </c>
      <c r="B19" s="165">
        <v>100</v>
      </c>
      <c r="C19" s="166">
        <v>0.02</v>
      </c>
      <c r="D19" s="165">
        <v>85</v>
      </c>
      <c r="E19" s="165">
        <v>55</v>
      </c>
      <c r="F19" s="166">
        <v>0.64</v>
      </c>
    </row>
    <row r="20" spans="1:6" x14ac:dyDescent="0.35">
      <c r="A20" s="169" t="s">
        <v>335</v>
      </c>
      <c r="B20" s="165">
        <v>55</v>
      </c>
      <c r="C20" s="166">
        <v>0.02</v>
      </c>
      <c r="D20" s="165">
        <v>60</v>
      </c>
      <c r="E20" s="165">
        <v>45</v>
      </c>
      <c r="F20" s="166">
        <v>0.72</v>
      </c>
    </row>
    <row r="21" spans="1:6" x14ac:dyDescent="0.35">
      <c r="A21" s="169" t="s">
        <v>132</v>
      </c>
      <c r="B21" s="165">
        <v>275</v>
      </c>
      <c r="C21" s="166">
        <v>0.02</v>
      </c>
      <c r="D21" s="165">
        <v>265</v>
      </c>
      <c r="E21" s="165">
        <v>185</v>
      </c>
      <c r="F21" s="166">
        <v>0.7</v>
      </c>
    </row>
    <row r="22" spans="1:6" x14ac:dyDescent="0.35">
      <c r="A22" s="169" t="s">
        <v>133</v>
      </c>
      <c r="B22" s="165">
        <v>15</v>
      </c>
      <c r="C22" s="166">
        <v>0.01</v>
      </c>
      <c r="D22" s="165">
        <v>15</v>
      </c>
      <c r="E22" s="165">
        <v>10</v>
      </c>
      <c r="F22" s="166">
        <v>0.79</v>
      </c>
    </row>
    <row r="23" spans="1:6" x14ac:dyDescent="0.35">
      <c r="A23" s="169" t="s">
        <v>134</v>
      </c>
      <c r="B23" s="165">
        <v>35</v>
      </c>
      <c r="C23" s="166">
        <v>0.01</v>
      </c>
      <c r="D23" s="165">
        <v>35</v>
      </c>
      <c r="E23" s="165">
        <v>30</v>
      </c>
      <c r="F23" s="166">
        <v>0.78</v>
      </c>
    </row>
    <row r="24" spans="1:6" x14ac:dyDescent="0.35">
      <c r="A24" s="169" t="s">
        <v>135</v>
      </c>
      <c r="B24" s="165">
        <v>45</v>
      </c>
      <c r="C24" s="166">
        <v>0.01</v>
      </c>
      <c r="D24" s="165">
        <v>45</v>
      </c>
      <c r="E24" s="165">
        <v>30</v>
      </c>
      <c r="F24" s="166">
        <v>0.7</v>
      </c>
    </row>
    <row r="25" spans="1:6" x14ac:dyDescent="0.35">
      <c r="A25" s="169" t="s">
        <v>336</v>
      </c>
      <c r="B25" s="165">
        <v>30</v>
      </c>
      <c r="C25" s="166">
        <v>0.01</v>
      </c>
      <c r="D25" s="165">
        <v>30</v>
      </c>
      <c r="E25" s="165">
        <v>20</v>
      </c>
      <c r="F25" s="166">
        <v>0.71</v>
      </c>
    </row>
    <row r="26" spans="1:6" x14ac:dyDescent="0.35">
      <c r="A26" s="169" t="s">
        <v>136</v>
      </c>
      <c r="B26" s="165">
        <v>130</v>
      </c>
      <c r="C26" s="166">
        <v>0.01</v>
      </c>
      <c r="D26" s="165">
        <v>125</v>
      </c>
      <c r="E26" s="165">
        <v>90</v>
      </c>
      <c r="F26" s="166">
        <v>0.73</v>
      </c>
    </row>
    <row r="27" spans="1:6" x14ac:dyDescent="0.35">
      <c r="A27" s="169" t="s">
        <v>137</v>
      </c>
      <c r="B27" s="165">
        <v>65</v>
      </c>
      <c r="C27" s="166">
        <v>0.04</v>
      </c>
      <c r="D27" s="165">
        <v>55</v>
      </c>
      <c r="E27" s="165">
        <v>45</v>
      </c>
      <c r="F27" s="166">
        <v>0.82</v>
      </c>
    </row>
    <row r="28" spans="1:6" x14ac:dyDescent="0.35">
      <c r="A28" s="169" t="s">
        <v>138</v>
      </c>
      <c r="B28" s="165">
        <v>120</v>
      </c>
      <c r="C28" s="166">
        <v>0.04</v>
      </c>
      <c r="D28" s="165">
        <v>120</v>
      </c>
      <c r="E28" s="165">
        <v>70</v>
      </c>
      <c r="F28" s="166">
        <v>0.57999999999999996</v>
      </c>
    </row>
    <row r="29" spans="1:6" x14ac:dyDescent="0.35">
      <c r="A29" s="169" t="s">
        <v>139</v>
      </c>
      <c r="B29" s="165">
        <v>145</v>
      </c>
      <c r="C29" s="166">
        <v>0.04</v>
      </c>
      <c r="D29" s="165">
        <v>150</v>
      </c>
      <c r="E29" s="165">
        <v>90</v>
      </c>
      <c r="F29" s="166">
        <v>0.62</v>
      </c>
    </row>
    <row r="30" spans="1:6" x14ac:dyDescent="0.35">
      <c r="A30" s="169" t="s">
        <v>337</v>
      </c>
      <c r="B30" s="165">
        <v>100</v>
      </c>
      <c r="C30" s="166">
        <v>0.04</v>
      </c>
      <c r="D30" s="165">
        <v>85</v>
      </c>
      <c r="E30" s="165">
        <v>60</v>
      </c>
      <c r="F30" s="166">
        <v>0.71</v>
      </c>
    </row>
    <row r="31" spans="1:6" x14ac:dyDescent="0.35">
      <c r="A31" s="169" t="s">
        <v>140</v>
      </c>
      <c r="B31" s="165">
        <v>430</v>
      </c>
      <c r="C31" s="166">
        <v>0.04</v>
      </c>
      <c r="D31" s="165">
        <v>410</v>
      </c>
      <c r="E31" s="165">
        <v>270</v>
      </c>
      <c r="F31" s="166">
        <v>0.65</v>
      </c>
    </row>
    <row r="32" spans="1:6" x14ac:dyDescent="0.35">
      <c r="A32" s="169" t="s">
        <v>141</v>
      </c>
      <c r="B32" s="165">
        <v>70</v>
      </c>
      <c r="C32" s="166">
        <v>0.04</v>
      </c>
      <c r="D32" s="165">
        <v>50</v>
      </c>
      <c r="E32" s="165">
        <v>40</v>
      </c>
      <c r="F32" s="166">
        <v>0.8</v>
      </c>
    </row>
    <row r="33" spans="1:6" x14ac:dyDescent="0.35">
      <c r="A33" s="169" t="s">
        <v>142</v>
      </c>
      <c r="B33" s="165">
        <v>110</v>
      </c>
      <c r="C33" s="166">
        <v>0.03</v>
      </c>
      <c r="D33" s="165">
        <v>125</v>
      </c>
      <c r="E33" s="165">
        <v>80</v>
      </c>
      <c r="F33" s="166">
        <v>0.65</v>
      </c>
    </row>
    <row r="34" spans="1:6" x14ac:dyDescent="0.35">
      <c r="A34" s="169" t="s">
        <v>143</v>
      </c>
      <c r="B34" s="165">
        <v>155</v>
      </c>
      <c r="C34" s="166">
        <v>0.04</v>
      </c>
      <c r="D34" s="165">
        <v>150</v>
      </c>
      <c r="E34" s="165">
        <v>105</v>
      </c>
      <c r="F34" s="166">
        <v>0.7</v>
      </c>
    </row>
    <row r="35" spans="1:6" x14ac:dyDescent="0.35">
      <c r="A35" s="169" t="s">
        <v>338</v>
      </c>
      <c r="B35" s="165">
        <v>95</v>
      </c>
      <c r="C35" s="166">
        <v>0.04</v>
      </c>
      <c r="D35" s="165">
        <v>95</v>
      </c>
      <c r="E35" s="165">
        <v>65</v>
      </c>
      <c r="F35" s="166">
        <v>0.68</v>
      </c>
    </row>
    <row r="36" spans="1:6" x14ac:dyDescent="0.35">
      <c r="A36" s="169" t="s">
        <v>144</v>
      </c>
      <c r="B36" s="165">
        <v>435</v>
      </c>
      <c r="C36" s="166">
        <v>0.04</v>
      </c>
      <c r="D36" s="165">
        <v>420</v>
      </c>
      <c r="E36" s="165">
        <v>290</v>
      </c>
      <c r="F36" s="166">
        <v>0.69</v>
      </c>
    </row>
    <row r="37" spans="1:6" x14ac:dyDescent="0.35">
      <c r="A37" s="169" t="s">
        <v>145</v>
      </c>
      <c r="B37" s="165">
        <v>65</v>
      </c>
      <c r="C37" s="166">
        <v>0.04</v>
      </c>
      <c r="D37" s="165">
        <v>55</v>
      </c>
      <c r="E37" s="165">
        <v>45</v>
      </c>
      <c r="F37" s="166">
        <v>0.87</v>
      </c>
    </row>
    <row r="38" spans="1:6" x14ac:dyDescent="0.35">
      <c r="A38" s="169" t="s">
        <v>146</v>
      </c>
      <c r="B38" s="165">
        <v>115</v>
      </c>
      <c r="C38" s="166">
        <v>0.03</v>
      </c>
      <c r="D38" s="165">
        <v>115</v>
      </c>
      <c r="E38" s="165">
        <v>75</v>
      </c>
      <c r="F38" s="166">
        <v>0.66</v>
      </c>
    </row>
    <row r="39" spans="1:6" x14ac:dyDescent="0.35">
      <c r="A39" s="169" t="s">
        <v>147</v>
      </c>
      <c r="B39" s="165">
        <v>115</v>
      </c>
      <c r="C39" s="166">
        <v>0.03</v>
      </c>
      <c r="D39" s="165">
        <v>110</v>
      </c>
      <c r="E39" s="165">
        <v>70</v>
      </c>
      <c r="F39" s="166">
        <v>0.64</v>
      </c>
    </row>
    <row r="40" spans="1:6" x14ac:dyDescent="0.35">
      <c r="A40" s="169" t="s">
        <v>339</v>
      </c>
      <c r="B40" s="165">
        <v>65</v>
      </c>
      <c r="C40" s="166">
        <v>0.03</v>
      </c>
      <c r="D40" s="165">
        <v>70</v>
      </c>
      <c r="E40" s="165">
        <v>55</v>
      </c>
      <c r="F40" s="166">
        <v>0.8</v>
      </c>
    </row>
    <row r="41" spans="1:6" x14ac:dyDescent="0.35">
      <c r="A41" s="169" t="s">
        <v>148</v>
      </c>
      <c r="B41" s="165">
        <v>360</v>
      </c>
      <c r="C41" s="166">
        <v>0.03</v>
      </c>
      <c r="D41" s="165">
        <v>345</v>
      </c>
      <c r="E41" s="165">
        <v>245</v>
      </c>
      <c r="F41" s="166">
        <v>0.72</v>
      </c>
    </row>
    <row r="42" spans="1:6" x14ac:dyDescent="0.35">
      <c r="A42" s="169" t="s">
        <v>149</v>
      </c>
      <c r="B42" s="165">
        <v>55</v>
      </c>
      <c r="C42" s="166">
        <v>0.03</v>
      </c>
      <c r="D42" s="165">
        <v>45</v>
      </c>
      <c r="E42" s="165">
        <v>35</v>
      </c>
      <c r="F42" s="166">
        <v>0.82</v>
      </c>
    </row>
    <row r="43" spans="1:6" x14ac:dyDescent="0.35">
      <c r="A43" s="169" t="s">
        <v>150</v>
      </c>
      <c r="B43" s="165">
        <v>90</v>
      </c>
      <c r="C43" s="166">
        <v>0.03</v>
      </c>
      <c r="D43" s="165">
        <v>95</v>
      </c>
      <c r="E43" s="165">
        <v>60</v>
      </c>
      <c r="F43" s="166">
        <v>0.65</v>
      </c>
    </row>
    <row r="44" spans="1:6" x14ac:dyDescent="0.35">
      <c r="A44" s="169" t="s">
        <v>151</v>
      </c>
      <c r="B44" s="165">
        <v>75</v>
      </c>
      <c r="C44" s="166">
        <v>0.02</v>
      </c>
      <c r="D44" s="165">
        <v>75</v>
      </c>
      <c r="E44" s="165">
        <v>50</v>
      </c>
      <c r="F44" s="166">
        <v>0.67</v>
      </c>
    </row>
    <row r="45" spans="1:6" x14ac:dyDescent="0.35">
      <c r="A45" s="169" t="s">
        <v>340</v>
      </c>
      <c r="B45" s="165">
        <v>50</v>
      </c>
      <c r="C45" s="166">
        <v>0.02</v>
      </c>
      <c r="D45" s="165">
        <v>45</v>
      </c>
      <c r="E45" s="165">
        <v>35</v>
      </c>
      <c r="F45" s="166">
        <v>0.78</v>
      </c>
    </row>
    <row r="46" spans="1:6" x14ac:dyDescent="0.35">
      <c r="A46" s="169" t="s">
        <v>152</v>
      </c>
      <c r="B46" s="165">
        <v>270</v>
      </c>
      <c r="C46" s="166">
        <v>0.02</v>
      </c>
      <c r="D46" s="165">
        <v>260</v>
      </c>
      <c r="E46" s="165">
        <v>180</v>
      </c>
      <c r="F46" s="166">
        <v>0.71</v>
      </c>
    </row>
    <row r="47" spans="1:6" x14ac:dyDescent="0.35">
      <c r="A47" s="169" t="s">
        <v>153</v>
      </c>
      <c r="B47" s="165">
        <v>20</v>
      </c>
      <c r="C47" s="166">
        <v>0.01</v>
      </c>
      <c r="D47" s="165">
        <v>15</v>
      </c>
      <c r="E47" s="165">
        <v>15</v>
      </c>
      <c r="F47" s="166">
        <v>0.82</v>
      </c>
    </row>
    <row r="48" spans="1:6" x14ac:dyDescent="0.35">
      <c r="A48" s="169" t="s">
        <v>154</v>
      </c>
      <c r="B48" s="165">
        <v>40</v>
      </c>
      <c r="C48" s="166">
        <v>0.01</v>
      </c>
      <c r="D48" s="165">
        <v>40</v>
      </c>
      <c r="E48" s="165">
        <v>25</v>
      </c>
      <c r="F48" s="166">
        <v>0.67</v>
      </c>
    </row>
    <row r="49" spans="1:6" x14ac:dyDescent="0.35">
      <c r="A49" s="169" t="s">
        <v>155</v>
      </c>
      <c r="B49" s="165">
        <v>55</v>
      </c>
      <c r="C49" s="166">
        <v>0.01</v>
      </c>
      <c r="D49" s="165">
        <v>55</v>
      </c>
      <c r="E49" s="165">
        <v>40</v>
      </c>
      <c r="F49" s="166">
        <v>0.72</v>
      </c>
    </row>
    <row r="50" spans="1:6" x14ac:dyDescent="0.35">
      <c r="A50" s="169" t="s">
        <v>341</v>
      </c>
      <c r="B50" s="165">
        <v>35</v>
      </c>
      <c r="C50" s="166">
        <v>0.02</v>
      </c>
      <c r="D50" s="165">
        <v>35</v>
      </c>
      <c r="E50" s="165">
        <v>30</v>
      </c>
      <c r="F50" s="166">
        <v>0.8</v>
      </c>
    </row>
    <row r="51" spans="1:6" x14ac:dyDescent="0.35">
      <c r="A51" s="169" t="s">
        <v>156</v>
      </c>
      <c r="B51" s="165">
        <v>150</v>
      </c>
      <c r="C51" s="166">
        <v>0.01</v>
      </c>
      <c r="D51" s="165">
        <v>145</v>
      </c>
      <c r="E51" s="165">
        <v>105</v>
      </c>
      <c r="F51" s="166">
        <v>0.74</v>
      </c>
    </row>
    <row r="52" spans="1:6" x14ac:dyDescent="0.35">
      <c r="A52" s="169" t="s">
        <v>157</v>
      </c>
      <c r="B52" s="165">
        <v>45</v>
      </c>
      <c r="C52" s="166">
        <v>0.03</v>
      </c>
      <c r="D52" s="165">
        <v>40</v>
      </c>
      <c r="E52" s="165">
        <v>35</v>
      </c>
      <c r="F52" s="166">
        <v>0.9</v>
      </c>
    </row>
    <row r="53" spans="1:6" x14ac:dyDescent="0.35">
      <c r="A53" s="169" t="s">
        <v>158</v>
      </c>
      <c r="B53" s="165">
        <v>75</v>
      </c>
      <c r="C53" s="166">
        <v>0.02</v>
      </c>
      <c r="D53" s="165">
        <v>70</v>
      </c>
      <c r="E53" s="165">
        <v>50</v>
      </c>
      <c r="F53" s="166">
        <v>0.69</v>
      </c>
    </row>
    <row r="54" spans="1:6" x14ac:dyDescent="0.35">
      <c r="A54" s="169" t="s">
        <v>159</v>
      </c>
      <c r="B54" s="165">
        <v>90</v>
      </c>
      <c r="C54" s="166">
        <v>0.02</v>
      </c>
      <c r="D54" s="165">
        <v>80</v>
      </c>
      <c r="E54" s="165">
        <v>55</v>
      </c>
      <c r="F54" s="166">
        <v>0.66</v>
      </c>
    </row>
    <row r="55" spans="1:6" x14ac:dyDescent="0.35">
      <c r="A55" s="169" t="s">
        <v>342</v>
      </c>
      <c r="B55" s="165">
        <v>50</v>
      </c>
      <c r="C55" s="166">
        <v>0.02</v>
      </c>
      <c r="D55" s="165">
        <v>50</v>
      </c>
      <c r="E55" s="165">
        <v>35</v>
      </c>
      <c r="F55" s="166">
        <v>0.69</v>
      </c>
    </row>
    <row r="56" spans="1:6" x14ac:dyDescent="0.35">
      <c r="A56" s="169" t="s">
        <v>160</v>
      </c>
      <c r="B56" s="165">
        <v>260</v>
      </c>
      <c r="C56" s="166">
        <v>0.02</v>
      </c>
      <c r="D56" s="165">
        <v>245</v>
      </c>
      <c r="E56" s="165">
        <v>175</v>
      </c>
      <c r="F56" s="166">
        <v>0.71</v>
      </c>
    </row>
    <row r="57" spans="1:6" x14ac:dyDescent="0.35">
      <c r="A57" s="169" t="s">
        <v>161</v>
      </c>
      <c r="B57" s="165">
        <v>65</v>
      </c>
      <c r="C57" s="166">
        <v>0.04</v>
      </c>
      <c r="D57" s="165">
        <v>50</v>
      </c>
      <c r="E57" s="165">
        <v>40</v>
      </c>
      <c r="F57" s="166">
        <v>0.79</v>
      </c>
    </row>
    <row r="58" spans="1:6" x14ac:dyDescent="0.35">
      <c r="A58" s="169" t="s">
        <v>162</v>
      </c>
      <c r="B58" s="165">
        <v>125</v>
      </c>
      <c r="C58" s="166">
        <v>0.04</v>
      </c>
      <c r="D58" s="165">
        <v>135</v>
      </c>
      <c r="E58" s="165">
        <v>85</v>
      </c>
      <c r="F58" s="166">
        <v>0.64</v>
      </c>
    </row>
    <row r="59" spans="1:6" x14ac:dyDescent="0.35">
      <c r="A59" s="169" t="s">
        <v>163</v>
      </c>
      <c r="B59" s="165">
        <v>155</v>
      </c>
      <c r="C59" s="166">
        <v>0.04</v>
      </c>
      <c r="D59" s="165">
        <v>150</v>
      </c>
      <c r="E59" s="165">
        <v>105</v>
      </c>
      <c r="F59" s="166">
        <v>0.7</v>
      </c>
    </row>
    <row r="60" spans="1:6" x14ac:dyDescent="0.35">
      <c r="A60" s="169" t="s">
        <v>343</v>
      </c>
      <c r="B60" s="165">
        <v>90</v>
      </c>
      <c r="C60" s="166">
        <v>0.04</v>
      </c>
      <c r="D60" s="165">
        <v>90</v>
      </c>
      <c r="E60" s="165">
        <v>55</v>
      </c>
      <c r="F60" s="166">
        <v>0.62</v>
      </c>
    </row>
    <row r="61" spans="1:6" x14ac:dyDescent="0.35">
      <c r="A61" s="169" t="s">
        <v>164</v>
      </c>
      <c r="B61" s="165">
        <v>440</v>
      </c>
      <c r="C61" s="166">
        <v>0.04</v>
      </c>
      <c r="D61" s="165">
        <v>420</v>
      </c>
      <c r="E61" s="165">
        <v>285</v>
      </c>
      <c r="F61" s="166">
        <v>0.67</v>
      </c>
    </row>
    <row r="62" spans="1:6" x14ac:dyDescent="0.35">
      <c r="A62" s="169" t="s">
        <v>165</v>
      </c>
      <c r="B62" s="165">
        <v>50</v>
      </c>
      <c r="C62" s="166">
        <v>0.03</v>
      </c>
      <c r="D62" s="165">
        <v>45</v>
      </c>
      <c r="E62" s="165">
        <v>40</v>
      </c>
      <c r="F62" s="166">
        <v>0.89</v>
      </c>
    </row>
    <row r="63" spans="1:6" x14ac:dyDescent="0.35">
      <c r="A63" s="169" t="s">
        <v>166</v>
      </c>
      <c r="B63" s="165">
        <v>95</v>
      </c>
      <c r="C63" s="166">
        <v>0.03</v>
      </c>
      <c r="D63" s="165">
        <v>90</v>
      </c>
      <c r="E63" s="165">
        <v>60</v>
      </c>
      <c r="F63" s="166">
        <v>0.67</v>
      </c>
    </row>
    <row r="64" spans="1:6" x14ac:dyDescent="0.35">
      <c r="A64" s="169" t="s">
        <v>167</v>
      </c>
      <c r="B64" s="165">
        <v>110</v>
      </c>
      <c r="C64" s="166">
        <v>0.03</v>
      </c>
      <c r="D64" s="165">
        <v>110</v>
      </c>
      <c r="E64" s="165">
        <v>80</v>
      </c>
      <c r="F64" s="166">
        <v>0.74</v>
      </c>
    </row>
    <row r="65" spans="1:6" x14ac:dyDescent="0.35">
      <c r="A65" s="169" t="s">
        <v>344</v>
      </c>
      <c r="B65" s="165">
        <v>85</v>
      </c>
      <c r="C65" s="166">
        <v>0.03</v>
      </c>
      <c r="D65" s="165">
        <v>85</v>
      </c>
      <c r="E65" s="165">
        <v>60</v>
      </c>
      <c r="F65" s="166">
        <v>0.69</v>
      </c>
    </row>
    <row r="66" spans="1:6" x14ac:dyDescent="0.35">
      <c r="A66" s="169" t="s">
        <v>168</v>
      </c>
      <c r="B66" s="165">
        <v>345</v>
      </c>
      <c r="C66" s="166">
        <v>0.03</v>
      </c>
      <c r="D66" s="165">
        <v>330</v>
      </c>
      <c r="E66" s="165">
        <v>240</v>
      </c>
      <c r="F66" s="166">
        <v>0.73</v>
      </c>
    </row>
    <row r="67" spans="1:6" x14ac:dyDescent="0.35">
      <c r="A67" s="169" t="s">
        <v>169</v>
      </c>
      <c r="B67" s="165">
        <v>110</v>
      </c>
      <c r="C67" s="166">
        <v>0.06</v>
      </c>
      <c r="D67" s="165">
        <v>85</v>
      </c>
      <c r="E67" s="165">
        <v>70</v>
      </c>
      <c r="F67" s="166">
        <v>0.81</v>
      </c>
    </row>
    <row r="68" spans="1:6" x14ac:dyDescent="0.35">
      <c r="A68" s="169" t="s">
        <v>170</v>
      </c>
      <c r="B68" s="165">
        <v>230</v>
      </c>
      <c r="C68" s="166">
        <v>7.0000000000000007E-2</v>
      </c>
      <c r="D68" s="165">
        <v>230</v>
      </c>
      <c r="E68" s="165">
        <v>155</v>
      </c>
      <c r="F68" s="166">
        <v>0.67</v>
      </c>
    </row>
    <row r="69" spans="1:6" x14ac:dyDescent="0.35">
      <c r="A69" s="169" t="s">
        <v>171</v>
      </c>
      <c r="B69" s="165">
        <v>310</v>
      </c>
      <c r="C69" s="166">
        <v>0.08</v>
      </c>
      <c r="D69" s="165">
        <v>295</v>
      </c>
      <c r="E69" s="165">
        <v>190</v>
      </c>
      <c r="F69" s="166">
        <v>0.64</v>
      </c>
    </row>
    <row r="70" spans="1:6" x14ac:dyDescent="0.35">
      <c r="A70" s="169" t="s">
        <v>345</v>
      </c>
      <c r="B70" s="165">
        <v>185</v>
      </c>
      <c r="C70" s="166">
        <v>0.08</v>
      </c>
      <c r="D70" s="165">
        <v>180</v>
      </c>
      <c r="E70" s="165">
        <v>135</v>
      </c>
      <c r="F70" s="166">
        <v>0.74</v>
      </c>
    </row>
    <row r="71" spans="1:6" x14ac:dyDescent="0.35">
      <c r="A71" s="169" t="s">
        <v>172</v>
      </c>
      <c r="B71" s="165">
        <v>830</v>
      </c>
      <c r="C71" s="166">
        <v>7.0000000000000007E-2</v>
      </c>
      <c r="D71" s="165">
        <v>795</v>
      </c>
      <c r="E71" s="165">
        <v>550</v>
      </c>
      <c r="F71" s="166">
        <v>0.69</v>
      </c>
    </row>
    <row r="72" spans="1:6" x14ac:dyDescent="0.35">
      <c r="A72" s="169" t="s">
        <v>173</v>
      </c>
      <c r="B72" s="165">
        <v>235</v>
      </c>
      <c r="C72" s="166">
        <v>0.13</v>
      </c>
      <c r="D72" s="165">
        <v>185</v>
      </c>
      <c r="E72" s="165">
        <v>155</v>
      </c>
      <c r="F72" s="166">
        <v>0.84</v>
      </c>
    </row>
    <row r="73" spans="1:6" x14ac:dyDescent="0.35">
      <c r="A73" s="169" t="s">
        <v>174</v>
      </c>
      <c r="B73" s="165">
        <v>515</v>
      </c>
      <c r="C73" s="166">
        <v>0.15</v>
      </c>
      <c r="D73" s="165">
        <v>530</v>
      </c>
      <c r="E73" s="165">
        <v>340</v>
      </c>
      <c r="F73" s="166">
        <v>0.64</v>
      </c>
    </row>
    <row r="74" spans="1:6" x14ac:dyDescent="0.35">
      <c r="A74" s="169" t="s">
        <v>175</v>
      </c>
      <c r="B74" s="165">
        <v>590</v>
      </c>
      <c r="C74" s="166">
        <v>0.15</v>
      </c>
      <c r="D74" s="165">
        <v>555</v>
      </c>
      <c r="E74" s="165">
        <v>380</v>
      </c>
      <c r="F74" s="166">
        <v>0.69</v>
      </c>
    </row>
    <row r="75" spans="1:6" x14ac:dyDescent="0.35">
      <c r="A75" s="169" t="s">
        <v>346</v>
      </c>
      <c r="B75" s="165">
        <v>390</v>
      </c>
      <c r="C75" s="166">
        <v>0.16</v>
      </c>
      <c r="D75" s="165">
        <v>350</v>
      </c>
      <c r="E75" s="165">
        <v>240</v>
      </c>
      <c r="F75" s="166">
        <v>0.69</v>
      </c>
    </row>
    <row r="76" spans="1:6" x14ac:dyDescent="0.35">
      <c r="A76" s="169" t="s">
        <v>176</v>
      </c>
      <c r="B76" s="165">
        <v>1730</v>
      </c>
      <c r="C76" s="166">
        <v>0.15</v>
      </c>
      <c r="D76" s="165">
        <v>1620</v>
      </c>
      <c r="E76" s="165">
        <v>1120</v>
      </c>
      <c r="F76" s="166">
        <v>0.69</v>
      </c>
    </row>
    <row r="77" spans="1:6" x14ac:dyDescent="0.35">
      <c r="A77" s="169" t="s">
        <v>177</v>
      </c>
      <c r="B77" s="165">
        <v>55</v>
      </c>
      <c r="C77" s="166">
        <v>0.03</v>
      </c>
      <c r="D77" s="165">
        <v>45</v>
      </c>
      <c r="E77" s="165">
        <v>40</v>
      </c>
      <c r="F77" s="166">
        <v>0.91</v>
      </c>
    </row>
    <row r="78" spans="1:6" x14ac:dyDescent="0.35">
      <c r="A78" s="169" t="s">
        <v>178</v>
      </c>
      <c r="B78" s="165">
        <v>125</v>
      </c>
      <c r="C78" s="166">
        <v>0.04</v>
      </c>
      <c r="D78" s="165">
        <v>135</v>
      </c>
      <c r="E78" s="165">
        <v>90</v>
      </c>
      <c r="F78" s="166">
        <v>0.68</v>
      </c>
    </row>
    <row r="79" spans="1:6" x14ac:dyDescent="0.35">
      <c r="A79" s="169" t="s">
        <v>179</v>
      </c>
      <c r="B79" s="165">
        <v>150</v>
      </c>
      <c r="C79" s="166">
        <v>0.04</v>
      </c>
      <c r="D79" s="165">
        <v>125</v>
      </c>
      <c r="E79" s="165">
        <v>95</v>
      </c>
      <c r="F79" s="166">
        <v>0.74</v>
      </c>
    </row>
    <row r="80" spans="1:6" x14ac:dyDescent="0.35">
      <c r="A80" s="169" t="s">
        <v>347</v>
      </c>
      <c r="B80" s="165">
        <v>80</v>
      </c>
      <c r="C80" s="166">
        <v>0.03</v>
      </c>
      <c r="D80" s="165">
        <v>85</v>
      </c>
      <c r="E80" s="165">
        <v>55</v>
      </c>
      <c r="F80" s="166">
        <v>0.66</v>
      </c>
    </row>
    <row r="81" spans="1:6" x14ac:dyDescent="0.35">
      <c r="A81" s="169" t="s">
        <v>180</v>
      </c>
      <c r="B81" s="165">
        <v>410</v>
      </c>
      <c r="C81" s="166">
        <v>0.04</v>
      </c>
      <c r="D81" s="165">
        <v>390</v>
      </c>
      <c r="E81" s="165">
        <v>285</v>
      </c>
      <c r="F81" s="166">
        <v>0.72</v>
      </c>
    </row>
    <row r="82" spans="1:6" x14ac:dyDescent="0.35">
      <c r="A82" s="169" t="s">
        <v>181</v>
      </c>
      <c r="B82" s="165">
        <v>60</v>
      </c>
      <c r="C82" s="166">
        <v>0.03</v>
      </c>
      <c r="D82" s="165">
        <v>55</v>
      </c>
      <c r="E82" s="165">
        <v>50</v>
      </c>
      <c r="F82" s="166">
        <v>0.92</v>
      </c>
    </row>
    <row r="83" spans="1:6" x14ac:dyDescent="0.35">
      <c r="A83" s="169" t="s">
        <v>182</v>
      </c>
      <c r="B83" s="165">
        <v>110</v>
      </c>
      <c r="C83" s="166">
        <v>0.03</v>
      </c>
      <c r="D83" s="165">
        <v>110</v>
      </c>
      <c r="E83" s="165">
        <v>80</v>
      </c>
      <c r="F83" s="166">
        <v>0.7</v>
      </c>
    </row>
    <row r="84" spans="1:6" x14ac:dyDescent="0.35">
      <c r="A84" s="169" t="s">
        <v>183</v>
      </c>
      <c r="B84" s="165">
        <v>145</v>
      </c>
      <c r="C84" s="166">
        <v>0.04</v>
      </c>
      <c r="D84" s="165">
        <v>140</v>
      </c>
      <c r="E84" s="165">
        <v>90</v>
      </c>
      <c r="F84" s="166">
        <v>0.63</v>
      </c>
    </row>
    <row r="85" spans="1:6" x14ac:dyDescent="0.35">
      <c r="A85" s="169" t="s">
        <v>348</v>
      </c>
      <c r="B85" s="165">
        <v>60</v>
      </c>
      <c r="C85" s="166">
        <v>0.03</v>
      </c>
      <c r="D85" s="165">
        <v>55</v>
      </c>
      <c r="E85" s="165">
        <v>40</v>
      </c>
      <c r="F85" s="166">
        <v>0.69</v>
      </c>
    </row>
    <row r="86" spans="1:6" x14ac:dyDescent="0.35">
      <c r="A86" s="169" t="s">
        <v>184</v>
      </c>
      <c r="B86" s="165">
        <v>375</v>
      </c>
      <c r="C86" s="166">
        <v>0.03</v>
      </c>
      <c r="D86" s="165">
        <v>360</v>
      </c>
      <c r="E86" s="165">
        <v>255</v>
      </c>
      <c r="F86" s="166">
        <v>0.71</v>
      </c>
    </row>
    <row r="87" spans="1:6" x14ac:dyDescent="0.35">
      <c r="A87" s="169" t="s">
        <v>185</v>
      </c>
      <c r="B87" s="165">
        <v>30</v>
      </c>
      <c r="C87" s="166">
        <v>0.02</v>
      </c>
      <c r="D87" s="165">
        <v>25</v>
      </c>
      <c r="E87" s="165">
        <v>20</v>
      </c>
      <c r="F87" s="166">
        <v>0.83</v>
      </c>
    </row>
    <row r="88" spans="1:6" x14ac:dyDescent="0.35">
      <c r="A88" s="169" t="s">
        <v>186</v>
      </c>
      <c r="B88" s="165">
        <v>60</v>
      </c>
      <c r="C88" s="166">
        <v>0.02</v>
      </c>
      <c r="D88" s="165">
        <v>65</v>
      </c>
      <c r="E88" s="165">
        <v>40</v>
      </c>
      <c r="F88" s="166">
        <v>0.62</v>
      </c>
    </row>
    <row r="89" spans="1:6" x14ac:dyDescent="0.35">
      <c r="A89" s="169" t="s">
        <v>187</v>
      </c>
      <c r="B89" s="165">
        <v>70</v>
      </c>
      <c r="C89" s="166">
        <v>0.02</v>
      </c>
      <c r="D89" s="165">
        <v>65</v>
      </c>
      <c r="E89" s="165">
        <v>40</v>
      </c>
      <c r="F89" s="166">
        <v>0.61</v>
      </c>
    </row>
    <row r="90" spans="1:6" x14ac:dyDescent="0.35">
      <c r="A90" s="169" t="s">
        <v>349</v>
      </c>
      <c r="B90" s="165">
        <v>35</v>
      </c>
      <c r="C90" s="166">
        <v>0.02</v>
      </c>
      <c r="D90" s="165">
        <v>30</v>
      </c>
      <c r="E90" s="165">
        <v>15</v>
      </c>
      <c r="F90" s="166">
        <v>0.5</v>
      </c>
    </row>
    <row r="91" spans="1:6" x14ac:dyDescent="0.35">
      <c r="A91" s="169" t="s">
        <v>188</v>
      </c>
      <c r="B91" s="165">
        <v>200</v>
      </c>
      <c r="C91" s="166">
        <v>0.02</v>
      </c>
      <c r="D91" s="165">
        <v>185</v>
      </c>
      <c r="E91" s="165">
        <v>115</v>
      </c>
      <c r="F91" s="166">
        <v>0.62</v>
      </c>
    </row>
    <row r="92" spans="1:6" x14ac:dyDescent="0.35">
      <c r="A92" s="169" t="s">
        <v>189</v>
      </c>
      <c r="B92" s="165">
        <v>15</v>
      </c>
      <c r="C92" s="166">
        <v>0.01</v>
      </c>
      <c r="D92" s="165">
        <v>15</v>
      </c>
      <c r="E92" s="165">
        <v>10</v>
      </c>
      <c r="F92" s="166">
        <v>0.85</v>
      </c>
    </row>
    <row r="93" spans="1:6" x14ac:dyDescent="0.35">
      <c r="A93" s="169" t="s">
        <v>190</v>
      </c>
      <c r="B93" s="165">
        <v>35</v>
      </c>
      <c r="C93" s="166">
        <v>0.01</v>
      </c>
      <c r="D93" s="165">
        <v>35</v>
      </c>
      <c r="E93" s="165">
        <v>25</v>
      </c>
      <c r="F93" s="166">
        <v>0.69</v>
      </c>
    </row>
    <row r="94" spans="1:6" x14ac:dyDescent="0.35">
      <c r="A94" s="169" t="s">
        <v>191</v>
      </c>
      <c r="B94" s="165">
        <v>35</v>
      </c>
      <c r="C94" s="166">
        <v>0.01</v>
      </c>
      <c r="D94" s="165">
        <v>35</v>
      </c>
      <c r="E94" s="165">
        <v>20</v>
      </c>
      <c r="F94" s="166">
        <v>0.63</v>
      </c>
    </row>
    <row r="95" spans="1:6" x14ac:dyDescent="0.35">
      <c r="A95" s="169" t="s">
        <v>350</v>
      </c>
      <c r="B95" s="165">
        <v>20</v>
      </c>
      <c r="C95" s="166">
        <v>0.01</v>
      </c>
      <c r="D95" s="165">
        <v>20</v>
      </c>
      <c r="E95" s="165">
        <v>10</v>
      </c>
      <c r="F95" s="166">
        <v>0.67</v>
      </c>
    </row>
    <row r="96" spans="1:6" x14ac:dyDescent="0.35">
      <c r="A96" s="169" t="s">
        <v>192</v>
      </c>
      <c r="B96" s="165">
        <v>110</v>
      </c>
      <c r="C96" s="166">
        <v>0.01</v>
      </c>
      <c r="D96" s="165">
        <v>100</v>
      </c>
      <c r="E96" s="165">
        <v>70</v>
      </c>
      <c r="F96" s="166">
        <v>0.69</v>
      </c>
    </row>
    <row r="97" spans="1:6" x14ac:dyDescent="0.35">
      <c r="A97" s="169" t="s">
        <v>193</v>
      </c>
      <c r="B97" s="165">
        <v>10</v>
      </c>
      <c r="C97" s="166">
        <v>0.01</v>
      </c>
      <c r="D97" s="165">
        <v>5</v>
      </c>
      <c r="E97" s="165">
        <v>5</v>
      </c>
      <c r="F97" s="166">
        <v>0.83</v>
      </c>
    </row>
    <row r="98" spans="1:6" x14ac:dyDescent="0.35">
      <c r="A98" s="169" t="s">
        <v>194</v>
      </c>
      <c r="B98" s="165">
        <v>15</v>
      </c>
      <c r="C98" s="166">
        <v>0</v>
      </c>
      <c r="D98" s="165">
        <v>15</v>
      </c>
      <c r="E98" s="165">
        <v>10</v>
      </c>
      <c r="F98" s="166">
        <v>0.56000000000000005</v>
      </c>
    </row>
    <row r="99" spans="1:6" x14ac:dyDescent="0.35">
      <c r="A99" s="169" t="s">
        <v>195</v>
      </c>
      <c r="B99" s="165">
        <v>10</v>
      </c>
      <c r="C99" s="166">
        <v>0</v>
      </c>
      <c r="D99" s="165">
        <v>10</v>
      </c>
      <c r="E99" s="165">
        <v>5</v>
      </c>
      <c r="F99" s="166">
        <v>0.78</v>
      </c>
    </row>
    <row r="100" spans="1:6" x14ac:dyDescent="0.35">
      <c r="A100" s="169" t="s">
        <v>351</v>
      </c>
      <c r="B100" s="165">
        <v>5</v>
      </c>
      <c r="C100" s="166">
        <v>0</v>
      </c>
      <c r="D100" s="165">
        <v>5</v>
      </c>
      <c r="E100" s="165">
        <v>5</v>
      </c>
      <c r="F100" s="166">
        <v>0.56999999999999995</v>
      </c>
    </row>
    <row r="101" spans="1:6" x14ac:dyDescent="0.35">
      <c r="A101" s="169" t="s">
        <v>196</v>
      </c>
      <c r="B101" s="165">
        <v>40</v>
      </c>
      <c r="C101" s="166">
        <v>0</v>
      </c>
      <c r="D101" s="165">
        <v>40</v>
      </c>
      <c r="E101" s="165">
        <v>25</v>
      </c>
      <c r="F101" s="166">
        <v>0.66</v>
      </c>
    </row>
    <row r="102" spans="1:6" x14ac:dyDescent="0.35">
      <c r="A102" s="169" t="s">
        <v>197</v>
      </c>
      <c r="B102" s="165">
        <v>5</v>
      </c>
      <c r="C102" s="166">
        <v>0</v>
      </c>
      <c r="D102" s="165">
        <v>5</v>
      </c>
      <c r="E102" s="165" t="s">
        <v>109</v>
      </c>
      <c r="F102" s="165" t="s">
        <v>109</v>
      </c>
    </row>
    <row r="103" spans="1:6" x14ac:dyDescent="0.35">
      <c r="A103" s="169" t="s">
        <v>198</v>
      </c>
      <c r="B103" s="165">
        <v>10</v>
      </c>
      <c r="C103" s="166">
        <v>0</v>
      </c>
      <c r="D103" s="165">
        <v>10</v>
      </c>
      <c r="E103" s="165">
        <v>0</v>
      </c>
      <c r="F103" s="166">
        <v>0</v>
      </c>
    </row>
    <row r="104" spans="1:6" x14ac:dyDescent="0.35">
      <c r="A104" s="169" t="s">
        <v>199</v>
      </c>
      <c r="B104" s="165">
        <v>10</v>
      </c>
      <c r="C104" s="166">
        <v>0</v>
      </c>
      <c r="D104" s="165">
        <v>5</v>
      </c>
      <c r="E104" s="165" t="s">
        <v>109</v>
      </c>
      <c r="F104" s="166" t="s">
        <v>109</v>
      </c>
    </row>
    <row r="105" spans="1:6" x14ac:dyDescent="0.35">
      <c r="A105" s="169" t="s">
        <v>352</v>
      </c>
      <c r="B105" s="165">
        <v>10</v>
      </c>
      <c r="C105" s="166">
        <v>0</v>
      </c>
      <c r="D105" s="165" t="s">
        <v>109</v>
      </c>
      <c r="E105" s="165">
        <v>0</v>
      </c>
      <c r="F105" s="166">
        <v>0</v>
      </c>
    </row>
    <row r="106" spans="1:6" x14ac:dyDescent="0.35">
      <c r="A106" s="169" t="s">
        <v>200</v>
      </c>
      <c r="B106" s="165">
        <v>35</v>
      </c>
      <c r="C106" s="166">
        <v>0</v>
      </c>
      <c r="D106" s="165">
        <v>20</v>
      </c>
      <c r="E106" s="165">
        <v>5</v>
      </c>
      <c r="F106" s="166">
        <v>0.15</v>
      </c>
    </row>
    <row r="107" spans="1:6" x14ac:dyDescent="0.35">
      <c r="A107" s="169" t="s">
        <v>201</v>
      </c>
      <c r="B107" s="165">
        <v>5</v>
      </c>
      <c r="C107" s="166">
        <v>0</v>
      </c>
      <c r="D107" s="165">
        <v>5</v>
      </c>
      <c r="E107" s="165">
        <v>0</v>
      </c>
      <c r="F107" s="166">
        <v>0</v>
      </c>
    </row>
    <row r="108" spans="1:6" x14ac:dyDescent="0.35">
      <c r="A108" s="169" t="s">
        <v>202</v>
      </c>
      <c r="B108" s="165">
        <v>5</v>
      </c>
      <c r="C108" s="166">
        <v>0</v>
      </c>
      <c r="D108" s="165">
        <v>5</v>
      </c>
      <c r="E108" s="165" t="s">
        <v>109</v>
      </c>
      <c r="F108" s="165" t="s">
        <v>109</v>
      </c>
    </row>
    <row r="109" spans="1:6" x14ac:dyDescent="0.35">
      <c r="A109" s="169" t="s">
        <v>203</v>
      </c>
      <c r="B109" s="165">
        <v>5</v>
      </c>
      <c r="C109" s="166">
        <v>0</v>
      </c>
      <c r="D109" s="165">
        <v>5</v>
      </c>
      <c r="E109" s="165" t="s">
        <v>109</v>
      </c>
      <c r="F109" s="165" t="s">
        <v>109</v>
      </c>
    </row>
    <row r="110" spans="1:6" x14ac:dyDescent="0.35">
      <c r="A110" s="169" t="s">
        <v>353</v>
      </c>
      <c r="B110" s="165">
        <v>5</v>
      </c>
      <c r="C110" s="166">
        <v>0</v>
      </c>
      <c r="D110" s="165" t="s">
        <v>109</v>
      </c>
      <c r="E110" s="165">
        <v>0</v>
      </c>
      <c r="F110" s="166">
        <v>0</v>
      </c>
    </row>
    <row r="111" spans="1:6" x14ac:dyDescent="0.35">
      <c r="A111" s="169" t="s">
        <v>204</v>
      </c>
      <c r="B111" s="165">
        <v>15</v>
      </c>
      <c r="C111" s="166">
        <v>0</v>
      </c>
      <c r="D111" s="165">
        <v>15</v>
      </c>
      <c r="E111" s="165">
        <v>5</v>
      </c>
      <c r="F111" s="166">
        <v>0.2</v>
      </c>
    </row>
    <row r="112" spans="1:6" x14ac:dyDescent="0.35">
      <c r="A112" s="169" t="s">
        <v>205</v>
      </c>
      <c r="B112" s="165">
        <v>75</v>
      </c>
      <c r="C112" s="166">
        <v>0.04</v>
      </c>
      <c r="D112" s="165">
        <v>65</v>
      </c>
      <c r="E112" s="165">
        <v>50</v>
      </c>
      <c r="F112" s="166">
        <v>0.78</v>
      </c>
    </row>
    <row r="113" spans="1:8" x14ac:dyDescent="0.35">
      <c r="A113" s="169" t="s">
        <v>206</v>
      </c>
      <c r="B113" s="165">
        <v>125</v>
      </c>
      <c r="C113" s="166">
        <v>0.04</v>
      </c>
      <c r="D113" s="165">
        <v>125</v>
      </c>
      <c r="E113" s="165">
        <v>90</v>
      </c>
      <c r="F113" s="166">
        <v>0.7</v>
      </c>
    </row>
    <row r="114" spans="1:8" x14ac:dyDescent="0.35">
      <c r="A114" s="169" t="s">
        <v>207</v>
      </c>
      <c r="B114" s="165">
        <v>155</v>
      </c>
      <c r="C114" s="166">
        <v>0.04</v>
      </c>
      <c r="D114" s="165">
        <v>140</v>
      </c>
      <c r="E114" s="165">
        <v>90</v>
      </c>
      <c r="F114" s="166">
        <v>0.64</v>
      </c>
    </row>
    <row r="115" spans="1:8" x14ac:dyDescent="0.35">
      <c r="A115" s="169" t="s">
        <v>354</v>
      </c>
      <c r="B115" s="165">
        <v>85</v>
      </c>
      <c r="C115" s="166">
        <v>0.03</v>
      </c>
      <c r="D115" s="165">
        <v>85</v>
      </c>
      <c r="E115" s="165">
        <v>55</v>
      </c>
      <c r="F115" s="166">
        <v>0.65</v>
      </c>
    </row>
    <row r="116" spans="1:8" x14ac:dyDescent="0.35">
      <c r="A116" s="169" t="s">
        <v>208</v>
      </c>
      <c r="B116" s="165">
        <v>440</v>
      </c>
      <c r="C116" s="166">
        <v>0.04</v>
      </c>
      <c r="D116" s="165">
        <v>420</v>
      </c>
      <c r="E116" s="165">
        <v>285</v>
      </c>
      <c r="F116" s="166">
        <v>0.68</v>
      </c>
    </row>
    <row r="117" spans="1:8" x14ac:dyDescent="0.35">
      <c r="A117" s="169" t="s">
        <v>209</v>
      </c>
      <c r="B117" s="165">
        <v>130</v>
      </c>
      <c r="C117" s="166">
        <v>7.0000000000000007E-2</v>
      </c>
      <c r="D117" s="165">
        <v>105</v>
      </c>
      <c r="E117" s="165">
        <v>95</v>
      </c>
      <c r="F117" s="166">
        <v>0.9</v>
      </c>
      <c r="H117" s="166"/>
    </row>
    <row r="118" spans="1:8" x14ac:dyDescent="0.35">
      <c r="A118" s="169" t="s">
        <v>210</v>
      </c>
      <c r="B118" s="165">
        <v>280</v>
      </c>
      <c r="C118" s="166">
        <v>0.08</v>
      </c>
      <c r="D118" s="165">
        <v>275</v>
      </c>
      <c r="E118" s="165">
        <v>185</v>
      </c>
      <c r="F118" s="166">
        <v>0.67</v>
      </c>
    </row>
    <row r="119" spans="1:8" x14ac:dyDescent="0.35">
      <c r="A119" s="169" t="s">
        <v>211</v>
      </c>
      <c r="B119" s="165">
        <v>315</v>
      </c>
      <c r="C119" s="166">
        <v>0.08</v>
      </c>
      <c r="D119" s="165">
        <v>300</v>
      </c>
      <c r="E119" s="165">
        <v>200</v>
      </c>
      <c r="F119" s="166">
        <v>0.66</v>
      </c>
    </row>
    <row r="120" spans="1:8" x14ac:dyDescent="0.35">
      <c r="A120" s="169" t="s">
        <v>355</v>
      </c>
      <c r="B120" s="165">
        <v>180</v>
      </c>
      <c r="C120" s="166">
        <v>7.0000000000000007E-2</v>
      </c>
      <c r="D120" s="165">
        <v>190</v>
      </c>
      <c r="E120" s="165">
        <v>140</v>
      </c>
      <c r="F120" s="166">
        <v>0.74</v>
      </c>
    </row>
    <row r="121" spans="1:8" x14ac:dyDescent="0.35">
      <c r="A121" s="169" t="s">
        <v>212</v>
      </c>
      <c r="B121" s="165">
        <v>900</v>
      </c>
      <c r="C121" s="166">
        <v>0.08</v>
      </c>
      <c r="D121" s="165">
        <v>870</v>
      </c>
      <c r="E121" s="165">
        <v>615</v>
      </c>
      <c r="F121" s="166">
        <v>0.71</v>
      </c>
    </row>
    <row r="122" spans="1:8" x14ac:dyDescent="0.35">
      <c r="A122" s="169" t="s">
        <v>213</v>
      </c>
      <c r="B122" s="165" t="s">
        <v>109</v>
      </c>
      <c r="C122" s="166" t="s">
        <v>109</v>
      </c>
      <c r="D122" s="165">
        <v>0</v>
      </c>
      <c r="E122" s="165">
        <v>0</v>
      </c>
      <c r="F122" s="166">
        <v>0</v>
      </c>
    </row>
    <row r="123" spans="1:8" x14ac:dyDescent="0.35">
      <c r="A123" s="169" t="s">
        <v>214</v>
      </c>
      <c r="B123" s="165">
        <v>5</v>
      </c>
      <c r="C123" s="166">
        <v>0</v>
      </c>
      <c r="D123" s="165">
        <v>5</v>
      </c>
      <c r="E123" s="165">
        <v>5</v>
      </c>
      <c r="F123" s="166">
        <v>1</v>
      </c>
    </row>
    <row r="124" spans="1:8" x14ac:dyDescent="0.35">
      <c r="A124" s="169" t="s">
        <v>215</v>
      </c>
      <c r="B124" s="165">
        <v>5</v>
      </c>
      <c r="C124" s="166">
        <v>0</v>
      </c>
      <c r="D124" s="165">
        <v>5</v>
      </c>
      <c r="E124" s="165">
        <v>5</v>
      </c>
      <c r="F124" s="166">
        <v>0.67</v>
      </c>
    </row>
    <row r="125" spans="1:8" x14ac:dyDescent="0.35">
      <c r="A125" s="169" t="s">
        <v>356</v>
      </c>
      <c r="B125" s="165">
        <v>5</v>
      </c>
      <c r="C125" s="166">
        <v>0</v>
      </c>
      <c r="D125" s="165" t="s">
        <v>109</v>
      </c>
      <c r="E125" s="165" t="s">
        <v>109</v>
      </c>
      <c r="F125" s="166" t="s">
        <v>109</v>
      </c>
    </row>
    <row r="126" spans="1:8" x14ac:dyDescent="0.35">
      <c r="A126" s="169" t="s">
        <v>216</v>
      </c>
      <c r="B126" s="165">
        <v>15</v>
      </c>
      <c r="C126" s="166">
        <v>0</v>
      </c>
      <c r="D126" s="165">
        <v>15</v>
      </c>
      <c r="E126" s="165">
        <v>10</v>
      </c>
      <c r="F126" s="166">
        <v>0.85</v>
      </c>
    </row>
    <row r="127" spans="1:8" x14ac:dyDescent="0.35">
      <c r="A127" s="169" t="s">
        <v>217</v>
      </c>
      <c r="B127" s="165">
        <v>50</v>
      </c>
      <c r="C127" s="166">
        <v>0.03</v>
      </c>
      <c r="D127" s="165">
        <v>40</v>
      </c>
      <c r="E127" s="165">
        <v>30</v>
      </c>
      <c r="F127" s="166">
        <v>0.76</v>
      </c>
    </row>
    <row r="128" spans="1:8" x14ac:dyDescent="0.35">
      <c r="A128" s="169" t="s">
        <v>218</v>
      </c>
      <c r="B128" s="165">
        <v>105</v>
      </c>
      <c r="C128" s="166">
        <v>0.03</v>
      </c>
      <c r="D128" s="165">
        <v>110</v>
      </c>
      <c r="E128" s="165">
        <v>80</v>
      </c>
      <c r="F128" s="166">
        <v>0.7</v>
      </c>
    </row>
    <row r="129" spans="1:6" x14ac:dyDescent="0.35">
      <c r="A129" s="169" t="s">
        <v>219</v>
      </c>
      <c r="B129" s="165">
        <v>105</v>
      </c>
      <c r="C129" s="166">
        <v>0.03</v>
      </c>
      <c r="D129" s="165">
        <v>105</v>
      </c>
      <c r="E129" s="165">
        <v>70</v>
      </c>
      <c r="F129" s="166">
        <v>0.7</v>
      </c>
    </row>
    <row r="130" spans="1:6" x14ac:dyDescent="0.35">
      <c r="A130" s="169" t="s">
        <v>357</v>
      </c>
      <c r="B130" s="165">
        <v>75</v>
      </c>
      <c r="C130" s="166">
        <v>0.03</v>
      </c>
      <c r="D130" s="165">
        <v>60</v>
      </c>
      <c r="E130" s="165">
        <v>40</v>
      </c>
      <c r="F130" s="166">
        <v>0.71</v>
      </c>
    </row>
    <row r="131" spans="1:6" x14ac:dyDescent="0.35">
      <c r="A131" s="169" t="s">
        <v>220</v>
      </c>
      <c r="B131" s="165">
        <v>335</v>
      </c>
      <c r="C131" s="166">
        <v>0.03</v>
      </c>
      <c r="D131" s="165">
        <v>315</v>
      </c>
      <c r="E131" s="165">
        <v>225</v>
      </c>
      <c r="F131" s="166">
        <v>0.71</v>
      </c>
    </row>
    <row r="132" spans="1:6" x14ac:dyDescent="0.35">
      <c r="A132" s="169" t="s">
        <v>221</v>
      </c>
      <c r="B132" s="165">
        <v>80</v>
      </c>
      <c r="C132" s="166">
        <v>0.05</v>
      </c>
      <c r="D132" s="165">
        <v>65</v>
      </c>
      <c r="E132" s="165">
        <v>60</v>
      </c>
      <c r="F132" s="166">
        <v>0.94</v>
      </c>
    </row>
    <row r="133" spans="1:6" x14ac:dyDescent="0.35">
      <c r="A133" s="169" t="s">
        <v>222</v>
      </c>
      <c r="B133" s="165">
        <v>115</v>
      </c>
      <c r="C133" s="166">
        <v>0.03</v>
      </c>
      <c r="D133" s="165">
        <v>125</v>
      </c>
      <c r="E133" s="165">
        <v>80</v>
      </c>
      <c r="F133" s="166">
        <v>0.65</v>
      </c>
    </row>
    <row r="134" spans="1:6" x14ac:dyDescent="0.35">
      <c r="A134" s="169" t="s">
        <v>223</v>
      </c>
      <c r="B134" s="165">
        <v>145</v>
      </c>
      <c r="C134" s="166">
        <v>0.04</v>
      </c>
      <c r="D134" s="165">
        <v>145</v>
      </c>
      <c r="E134" s="165">
        <v>95</v>
      </c>
      <c r="F134" s="166">
        <v>0.66</v>
      </c>
    </row>
    <row r="135" spans="1:6" x14ac:dyDescent="0.35">
      <c r="A135" s="169" t="s">
        <v>358</v>
      </c>
      <c r="B135" s="165">
        <v>90</v>
      </c>
      <c r="C135" s="166">
        <v>0.04</v>
      </c>
      <c r="D135" s="165">
        <v>80</v>
      </c>
      <c r="E135" s="165">
        <v>60</v>
      </c>
      <c r="F135" s="166">
        <v>0.71</v>
      </c>
    </row>
    <row r="136" spans="1:6" x14ac:dyDescent="0.35">
      <c r="A136" s="169" t="s">
        <v>224</v>
      </c>
      <c r="B136" s="165">
        <v>430</v>
      </c>
      <c r="C136" s="166">
        <v>0.04</v>
      </c>
      <c r="D136" s="165">
        <v>415</v>
      </c>
      <c r="E136" s="165">
        <v>295</v>
      </c>
      <c r="F136" s="166">
        <v>0.71</v>
      </c>
    </row>
    <row r="137" spans="1:6" x14ac:dyDescent="0.35">
      <c r="A137" s="169" t="s">
        <v>225</v>
      </c>
      <c r="B137" s="165">
        <v>20</v>
      </c>
      <c r="C137" s="166">
        <v>0.01</v>
      </c>
      <c r="D137" s="165">
        <v>20</v>
      </c>
      <c r="E137" s="165">
        <v>20</v>
      </c>
      <c r="F137" s="166">
        <v>0.95</v>
      </c>
    </row>
    <row r="138" spans="1:6" x14ac:dyDescent="0.35">
      <c r="A138" s="169" t="s">
        <v>226</v>
      </c>
      <c r="B138" s="165">
        <v>40</v>
      </c>
      <c r="C138" s="166">
        <v>0.01</v>
      </c>
      <c r="D138" s="165">
        <v>40</v>
      </c>
      <c r="E138" s="165">
        <v>25</v>
      </c>
      <c r="F138" s="166">
        <v>0.68</v>
      </c>
    </row>
    <row r="139" spans="1:6" x14ac:dyDescent="0.35">
      <c r="A139" s="169" t="s">
        <v>227</v>
      </c>
      <c r="B139" s="165">
        <v>40</v>
      </c>
      <c r="C139" s="166">
        <v>0.01</v>
      </c>
      <c r="D139" s="165">
        <v>40</v>
      </c>
      <c r="E139" s="165">
        <v>20</v>
      </c>
      <c r="F139" s="166">
        <v>0.56000000000000005</v>
      </c>
    </row>
    <row r="140" spans="1:6" x14ac:dyDescent="0.35">
      <c r="A140" s="169" t="s">
        <v>359</v>
      </c>
      <c r="B140" s="165">
        <v>25</v>
      </c>
      <c r="C140" s="166">
        <v>0.01</v>
      </c>
      <c r="D140" s="165">
        <v>20</v>
      </c>
      <c r="E140" s="165">
        <v>15</v>
      </c>
      <c r="F140" s="166">
        <v>0.65</v>
      </c>
    </row>
    <row r="141" spans="1:6" x14ac:dyDescent="0.35">
      <c r="A141" s="169" t="s">
        <v>228</v>
      </c>
      <c r="B141" s="165">
        <v>125</v>
      </c>
      <c r="C141" s="166">
        <v>0.01</v>
      </c>
      <c r="D141" s="165">
        <v>120</v>
      </c>
      <c r="E141" s="165">
        <v>80</v>
      </c>
      <c r="F141" s="166">
        <v>0.68</v>
      </c>
    </row>
    <row r="142" spans="1:6" x14ac:dyDescent="0.35">
      <c r="A142" s="169" t="s">
        <v>229</v>
      </c>
      <c r="B142" s="165">
        <v>5</v>
      </c>
      <c r="C142" s="166">
        <v>0</v>
      </c>
      <c r="D142" s="165">
        <v>5</v>
      </c>
      <c r="E142" s="165">
        <v>5</v>
      </c>
      <c r="F142" s="166">
        <v>1</v>
      </c>
    </row>
    <row r="143" spans="1:6" x14ac:dyDescent="0.35">
      <c r="A143" s="169" t="s">
        <v>230</v>
      </c>
      <c r="B143" s="165">
        <v>10</v>
      </c>
      <c r="C143" s="166">
        <v>0</v>
      </c>
      <c r="D143" s="165">
        <v>10</v>
      </c>
      <c r="E143" s="165">
        <v>10</v>
      </c>
      <c r="F143" s="166">
        <v>1</v>
      </c>
    </row>
    <row r="144" spans="1:6" x14ac:dyDescent="0.35">
      <c r="A144" s="169" t="s">
        <v>231</v>
      </c>
      <c r="B144" s="165">
        <v>10</v>
      </c>
      <c r="C144" s="166">
        <v>0</v>
      </c>
      <c r="D144" s="165">
        <v>10</v>
      </c>
      <c r="E144" s="165">
        <v>5</v>
      </c>
      <c r="F144" s="166">
        <v>0.75</v>
      </c>
    </row>
    <row r="145" spans="1:6" x14ac:dyDescent="0.35">
      <c r="A145" s="169" t="s">
        <v>360</v>
      </c>
      <c r="B145" s="165">
        <v>5</v>
      </c>
      <c r="C145" s="166">
        <v>0</v>
      </c>
      <c r="D145" s="165">
        <v>5</v>
      </c>
      <c r="E145" s="165">
        <v>5</v>
      </c>
      <c r="F145" s="166">
        <v>0.56999999999999995</v>
      </c>
    </row>
    <row r="146" spans="1:6" x14ac:dyDescent="0.35">
      <c r="A146" s="169" t="s">
        <v>232</v>
      </c>
      <c r="B146" s="165">
        <v>30</v>
      </c>
      <c r="C146" s="166">
        <v>0</v>
      </c>
      <c r="D146" s="165">
        <v>25</v>
      </c>
      <c r="E146" s="165">
        <v>20</v>
      </c>
      <c r="F146" s="166">
        <v>0.81</v>
      </c>
    </row>
    <row r="147" spans="1:6" x14ac:dyDescent="0.35">
      <c r="A147" s="169" t="s">
        <v>233</v>
      </c>
      <c r="B147" s="165">
        <v>35</v>
      </c>
      <c r="C147" s="166">
        <v>0.02</v>
      </c>
      <c r="D147" s="165">
        <v>25</v>
      </c>
      <c r="E147" s="165">
        <v>20</v>
      </c>
      <c r="F147" s="166">
        <v>0.88</v>
      </c>
    </row>
    <row r="148" spans="1:6" x14ac:dyDescent="0.35">
      <c r="A148" s="169" t="s">
        <v>234</v>
      </c>
      <c r="B148" s="165">
        <v>55</v>
      </c>
      <c r="C148" s="166">
        <v>0.02</v>
      </c>
      <c r="D148" s="165">
        <v>60</v>
      </c>
      <c r="E148" s="165">
        <v>45</v>
      </c>
      <c r="F148" s="166">
        <v>0.74</v>
      </c>
    </row>
    <row r="149" spans="1:6" x14ac:dyDescent="0.35">
      <c r="A149" s="169" t="s">
        <v>235</v>
      </c>
      <c r="B149" s="165">
        <v>70</v>
      </c>
      <c r="C149" s="166">
        <v>0.02</v>
      </c>
      <c r="D149" s="165">
        <v>60</v>
      </c>
      <c r="E149" s="165">
        <v>45</v>
      </c>
      <c r="F149" s="166">
        <v>0.73</v>
      </c>
    </row>
    <row r="150" spans="1:6" x14ac:dyDescent="0.35">
      <c r="A150" s="169" t="s">
        <v>361</v>
      </c>
      <c r="B150" s="165">
        <v>50</v>
      </c>
      <c r="C150" s="166">
        <v>0.02</v>
      </c>
      <c r="D150" s="165">
        <v>50</v>
      </c>
      <c r="E150" s="165">
        <v>40</v>
      </c>
      <c r="F150" s="166">
        <v>0.76</v>
      </c>
    </row>
    <row r="151" spans="1:6" x14ac:dyDescent="0.35">
      <c r="A151" s="169" t="s">
        <v>236</v>
      </c>
      <c r="B151" s="165">
        <v>210</v>
      </c>
      <c r="C151" s="166">
        <v>0.02</v>
      </c>
      <c r="D151" s="165">
        <v>200</v>
      </c>
      <c r="E151" s="165">
        <v>150</v>
      </c>
      <c r="F151" s="166">
        <v>0.76</v>
      </c>
    </row>
    <row r="152" spans="1:6" x14ac:dyDescent="0.35">
      <c r="A152" s="169" t="s">
        <v>237</v>
      </c>
      <c r="B152" s="165">
        <v>100</v>
      </c>
      <c r="C152" s="166">
        <v>0.06</v>
      </c>
      <c r="D152" s="165">
        <v>80</v>
      </c>
      <c r="E152" s="165">
        <v>70</v>
      </c>
      <c r="F152" s="166">
        <v>0.89</v>
      </c>
    </row>
    <row r="153" spans="1:6" x14ac:dyDescent="0.35">
      <c r="A153" s="169" t="s">
        <v>238</v>
      </c>
      <c r="B153" s="165">
        <v>200</v>
      </c>
      <c r="C153" s="166">
        <v>0.06</v>
      </c>
      <c r="D153" s="165">
        <v>200</v>
      </c>
      <c r="E153" s="165">
        <v>120</v>
      </c>
      <c r="F153" s="166">
        <v>0.6</v>
      </c>
    </row>
    <row r="154" spans="1:6" x14ac:dyDescent="0.35">
      <c r="A154" s="169" t="s">
        <v>239</v>
      </c>
      <c r="B154" s="165">
        <v>200</v>
      </c>
      <c r="C154" s="166">
        <v>0.05</v>
      </c>
      <c r="D154" s="165">
        <v>200</v>
      </c>
      <c r="E154" s="165">
        <v>135</v>
      </c>
      <c r="F154" s="166">
        <v>0.67</v>
      </c>
    </row>
    <row r="155" spans="1:6" x14ac:dyDescent="0.35">
      <c r="A155" s="169" t="s">
        <v>362</v>
      </c>
      <c r="B155" s="165">
        <v>140</v>
      </c>
      <c r="C155" s="166">
        <v>0.06</v>
      </c>
      <c r="D155" s="165">
        <v>130</v>
      </c>
      <c r="E155" s="165">
        <v>90</v>
      </c>
      <c r="F155" s="166">
        <v>0.68</v>
      </c>
    </row>
    <row r="156" spans="1:6" x14ac:dyDescent="0.35">
      <c r="A156" s="169" t="s">
        <v>240</v>
      </c>
      <c r="B156" s="165">
        <v>640</v>
      </c>
      <c r="C156" s="166">
        <v>0.06</v>
      </c>
      <c r="D156" s="165">
        <v>605</v>
      </c>
      <c r="E156" s="165">
        <v>410</v>
      </c>
      <c r="F156" s="166">
        <v>0.68</v>
      </c>
    </row>
    <row r="157" spans="1:6" x14ac:dyDescent="0.35">
      <c r="A157" s="169" t="s">
        <v>241</v>
      </c>
      <c r="B157" s="165">
        <v>25</v>
      </c>
      <c r="C157" s="166">
        <v>0.02</v>
      </c>
      <c r="D157" s="165">
        <v>25</v>
      </c>
      <c r="E157" s="165">
        <v>20</v>
      </c>
      <c r="F157" s="166">
        <v>0.75</v>
      </c>
    </row>
    <row r="158" spans="1:6" x14ac:dyDescent="0.35">
      <c r="A158" s="169" t="s">
        <v>242</v>
      </c>
      <c r="B158" s="165">
        <v>55</v>
      </c>
      <c r="C158" s="166">
        <v>0.02</v>
      </c>
      <c r="D158" s="165">
        <v>55</v>
      </c>
      <c r="E158" s="165">
        <v>40</v>
      </c>
      <c r="F158" s="166">
        <v>0.7</v>
      </c>
    </row>
    <row r="159" spans="1:6" x14ac:dyDescent="0.35">
      <c r="A159" s="169" t="s">
        <v>243</v>
      </c>
      <c r="B159" s="165">
        <v>70</v>
      </c>
      <c r="C159" s="166">
        <v>0.02</v>
      </c>
      <c r="D159" s="165">
        <v>60</v>
      </c>
      <c r="E159" s="165">
        <v>40</v>
      </c>
      <c r="F159" s="166">
        <v>0.66</v>
      </c>
    </row>
    <row r="160" spans="1:6" x14ac:dyDescent="0.35">
      <c r="A160" s="169" t="s">
        <v>363</v>
      </c>
      <c r="B160" s="165">
        <v>35</v>
      </c>
      <c r="C160" s="166">
        <v>0.02</v>
      </c>
      <c r="D160" s="165">
        <v>40</v>
      </c>
      <c r="E160" s="165">
        <v>25</v>
      </c>
      <c r="F160" s="166">
        <v>0.59</v>
      </c>
    </row>
    <row r="161" spans="1:6" x14ac:dyDescent="0.35">
      <c r="A161" s="169" t="s">
        <v>244</v>
      </c>
      <c r="B161" s="165">
        <v>190</v>
      </c>
      <c r="C161" s="166">
        <v>0.02</v>
      </c>
      <c r="D161" s="165">
        <v>180</v>
      </c>
      <c r="E161" s="165">
        <v>120</v>
      </c>
      <c r="F161" s="166">
        <v>0.67</v>
      </c>
    </row>
    <row r="162" spans="1:6" x14ac:dyDescent="0.35">
      <c r="A162" s="169" t="s">
        <v>245</v>
      </c>
      <c r="B162" s="165">
        <v>1750</v>
      </c>
      <c r="C162" s="166">
        <v>1</v>
      </c>
      <c r="D162" s="165">
        <v>1405</v>
      </c>
      <c r="E162" s="165">
        <v>1185</v>
      </c>
      <c r="F162" s="166">
        <v>0.84</v>
      </c>
    </row>
    <row r="163" spans="1:6" x14ac:dyDescent="0.35">
      <c r="A163" s="169" t="s">
        <v>246</v>
      </c>
      <c r="B163" s="165">
        <v>3375</v>
      </c>
      <c r="C163" s="166">
        <v>1</v>
      </c>
      <c r="D163" s="165">
        <v>3470</v>
      </c>
      <c r="E163" s="165">
        <v>2290</v>
      </c>
      <c r="F163" s="166">
        <v>0.66</v>
      </c>
    </row>
    <row r="164" spans="1:6" x14ac:dyDescent="0.35">
      <c r="A164" s="169" t="s">
        <v>247</v>
      </c>
      <c r="B164" s="165">
        <v>3935</v>
      </c>
      <c r="C164" s="166">
        <v>1</v>
      </c>
      <c r="D164" s="165">
        <v>3725</v>
      </c>
      <c r="E164" s="165">
        <v>2490</v>
      </c>
      <c r="F164" s="166">
        <v>0.67</v>
      </c>
    </row>
    <row r="165" spans="1:6" x14ac:dyDescent="0.35">
      <c r="A165" s="169" t="s">
        <v>329</v>
      </c>
      <c r="B165" s="165">
        <v>2430</v>
      </c>
      <c r="C165" s="166">
        <v>1</v>
      </c>
      <c r="D165" s="165">
        <v>2325</v>
      </c>
      <c r="E165" s="165">
        <v>1630</v>
      </c>
      <c r="F165" s="166">
        <v>0.7</v>
      </c>
    </row>
    <row r="166" spans="1:6" x14ac:dyDescent="0.35">
      <c r="A166" s="169" t="s">
        <v>248</v>
      </c>
      <c r="B166" s="165">
        <v>11490</v>
      </c>
      <c r="C166" s="166">
        <v>1</v>
      </c>
      <c r="D166" s="165">
        <v>10930</v>
      </c>
      <c r="E166" s="165">
        <v>7595</v>
      </c>
      <c r="F166" s="166">
        <v>0.69</v>
      </c>
    </row>
    <row r="167" spans="1:6" s="63" customFormat="1" ht="15.5" x14ac:dyDescent="0.35">
      <c r="A167" s="169" t="s">
        <v>269</v>
      </c>
      <c r="B167" s="165">
        <v>0</v>
      </c>
      <c r="C167" s="165">
        <v>0</v>
      </c>
      <c r="D167" s="165">
        <v>0</v>
      </c>
      <c r="E167" s="165">
        <v>0</v>
      </c>
      <c r="F167" s="166">
        <v>0</v>
      </c>
    </row>
    <row r="168" spans="1:6" s="63" customFormat="1" ht="15.5" x14ac:dyDescent="0.35">
      <c r="A168" s="169" t="s">
        <v>271</v>
      </c>
      <c r="B168" s="165">
        <v>5</v>
      </c>
      <c r="C168" s="166">
        <v>0</v>
      </c>
      <c r="D168" s="165">
        <v>5</v>
      </c>
      <c r="E168" s="165" t="s">
        <v>109</v>
      </c>
      <c r="F168" s="166" t="s">
        <v>109</v>
      </c>
    </row>
    <row r="169" spans="1:6" s="63" customFormat="1" ht="15.5" x14ac:dyDescent="0.35">
      <c r="A169" s="169" t="s">
        <v>272</v>
      </c>
      <c r="B169" s="165" t="s">
        <v>109</v>
      </c>
      <c r="C169" s="166" t="s">
        <v>109</v>
      </c>
      <c r="D169" s="165" t="s">
        <v>109</v>
      </c>
      <c r="E169" s="165" t="s">
        <v>109</v>
      </c>
      <c r="F169" s="166" t="s">
        <v>109</v>
      </c>
    </row>
    <row r="170" spans="1:6" s="63" customFormat="1" ht="15.5" x14ac:dyDescent="0.35">
      <c r="A170" s="169" t="s">
        <v>366</v>
      </c>
      <c r="B170" s="165" t="s">
        <v>109</v>
      </c>
      <c r="C170" s="166" t="s">
        <v>109</v>
      </c>
      <c r="D170" s="165" t="s">
        <v>109</v>
      </c>
      <c r="E170" s="165" t="s">
        <v>109</v>
      </c>
      <c r="F170" s="166" t="s">
        <v>109</v>
      </c>
    </row>
    <row r="171" spans="1:6" s="63" customFormat="1" ht="15.5" x14ac:dyDescent="0.35">
      <c r="A171" s="169" t="s">
        <v>270</v>
      </c>
      <c r="B171" s="165">
        <v>5</v>
      </c>
      <c r="C171" s="166">
        <v>0</v>
      </c>
      <c r="D171" s="165">
        <v>5</v>
      </c>
      <c r="E171" s="165">
        <v>5</v>
      </c>
      <c r="F171" s="166">
        <v>0.6</v>
      </c>
    </row>
    <row r="172" spans="1:6" x14ac:dyDescent="0.35">
      <c r="A172" s="169" t="s">
        <v>249</v>
      </c>
      <c r="B172" s="165">
        <v>30</v>
      </c>
      <c r="C172" s="166">
        <v>0.02</v>
      </c>
      <c r="D172" s="165">
        <v>20</v>
      </c>
      <c r="E172" s="165">
        <v>15</v>
      </c>
      <c r="F172" s="166">
        <v>0.79</v>
      </c>
    </row>
    <row r="173" spans="1:6" x14ac:dyDescent="0.35">
      <c r="A173" s="169" t="s">
        <v>250</v>
      </c>
      <c r="B173" s="165">
        <v>65</v>
      </c>
      <c r="C173" s="166">
        <v>0.02</v>
      </c>
      <c r="D173" s="165">
        <v>65</v>
      </c>
      <c r="E173" s="165">
        <v>40</v>
      </c>
      <c r="F173" s="166">
        <v>0.63</v>
      </c>
    </row>
    <row r="174" spans="1:6" x14ac:dyDescent="0.35">
      <c r="A174" s="169" t="s">
        <v>251</v>
      </c>
      <c r="B174" s="165">
        <v>80</v>
      </c>
      <c r="C174" s="166">
        <v>0.02</v>
      </c>
      <c r="D174" s="165">
        <v>80</v>
      </c>
      <c r="E174" s="165">
        <v>55</v>
      </c>
      <c r="F174" s="166">
        <v>0.68</v>
      </c>
    </row>
    <row r="175" spans="1:6" x14ac:dyDescent="0.35">
      <c r="A175" s="169" t="s">
        <v>364</v>
      </c>
      <c r="B175" s="165">
        <v>55</v>
      </c>
      <c r="C175" s="166">
        <v>0.02</v>
      </c>
      <c r="D175" s="165">
        <v>50</v>
      </c>
      <c r="E175" s="165">
        <v>30</v>
      </c>
      <c r="F175" s="166">
        <v>0.63</v>
      </c>
    </row>
    <row r="176" spans="1:6" x14ac:dyDescent="0.35">
      <c r="A176" s="169" t="s">
        <v>252</v>
      </c>
      <c r="B176" s="165">
        <v>230</v>
      </c>
      <c r="C176" s="166">
        <v>0.02</v>
      </c>
      <c r="D176" s="165">
        <v>215</v>
      </c>
      <c r="E176" s="165">
        <v>140</v>
      </c>
      <c r="F176" s="166">
        <v>0.66</v>
      </c>
    </row>
    <row r="177" spans="1:6" x14ac:dyDescent="0.35">
      <c r="A177" s="169" t="s">
        <v>253</v>
      </c>
      <c r="B177" s="165">
        <v>75</v>
      </c>
      <c r="C177" s="166">
        <v>0.04</v>
      </c>
      <c r="D177" s="165">
        <v>60</v>
      </c>
      <c r="E177" s="165">
        <v>55</v>
      </c>
      <c r="F177" s="166">
        <v>0.87</v>
      </c>
    </row>
    <row r="178" spans="1:6" x14ac:dyDescent="0.35">
      <c r="A178" s="169" t="s">
        <v>254</v>
      </c>
      <c r="B178" s="165">
        <v>140</v>
      </c>
      <c r="C178" s="166">
        <v>0.04</v>
      </c>
      <c r="D178" s="165">
        <v>150</v>
      </c>
      <c r="E178" s="165">
        <v>95</v>
      </c>
      <c r="F178" s="166">
        <v>0.65</v>
      </c>
    </row>
    <row r="179" spans="1:6" x14ac:dyDescent="0.35">
      <c r="A179" s="169" t="s">
        <v>255</v>
      </c>
      <c r="B179" s="165">
        <v>145</v>
      </c>
      <c r="C179" s="166">
        <v>0.04</v>
      </c>
      <c r="D179" s="165">
        <v>135</v>
      </c>
      <c r="E179" s="165">
        <v>90</v>
      </c>
      <c r="F179" s="166">
        <v>0.66</v>
      </c>
    </row>
    <row r="180" spans="1:6" x14ac:dyDescent="0.35">
      <c r="A180" s="169" t="s">
        <v>365</v>
      </c>
      <c r="B180" s="165">
        <v>90</v>
      </c>
      <c r="C180" s="166">
        <v>0.04</v>
      </c>
      <c r="D180" s="165">
        <v>90</v>
      </c>
      <c r="E180" s="165">
        <v>65</v>
      </c>
      <c r="F180" s="166">
        <v>0.71</v>
      </c>
    </row>
    <row r="181" spans="1:6" x14ac:dyDescent="0.35">
      <c r="A181" s="169" t="s">
        <v>256</v>
      </c>
      <c r="B181" s="165">
        <v>455</v>
      </c>
      <c r="C181" s="166">
        <v>0.04</v>
      </c>
      <c r="D181" s="165">
        <v>435</v>
      </c>
      <c r="E181" s="165">
        <v>305</v>
      </c>
      <c r="F181" s="166">
        <v>0.69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zoomScale="106" zoomScaleNormal="106" workbookViewId="0">
      <selection activeCell="D65" sqref="D65"/>
    </sheetView>
  </sheetViews>
  <sheetFormatPr defaultColWidth="8.7265625" defaultRowHeight="14.5" x14ac:dyDescent="0.35"/>
  <cols>
    <col min="1" max="1" width="48.7265625" style="159" customWidth="1"/>
    <col min="2" max="2" width="17.453125" style="159" customWidth="1"/>
    <col min="3" max="3" width="18.26953125" style="159" customWidth="1"/>
    <col min="4" max="4" width="13" style="159" customWidth="1"/>
    <col min="5" max="5" width="10.81640625" style="157" customWidth="1"/>
    <col min="6" max="6" width="8.7265625" style="159"/>
    <col min="7" max="7" width="10.81640625" style="159" customWidth="1"/>
    <col min="8" max="8" width="8.7265625" style="159"/>
    <col min="9" max="9" width="11.1796875" style="159" bestFit="1" customWidth="1"/>
    <col min="10" max="16384" width="8.7265625" style="159"/>
  </cols>
  <sheetData>
    <row r="1" spans="1:9" ht="43.5" x14ac:dyDescent="0.35">
      <c r="A1" s="170" t="s">
        <v>257</v>
      </c>
      <c r="B1" s="170" t="s">
        <v>307</v>
      </c>
      <c r="C1" s="170" t="s">
        <v>268</v>
      </c>
      <c r="D1" s="170" t="s">
        <v>285</v>
      </c>
      <c r="E1" s="121"/>
      <c r="F1" s="157"/>
      <c r="G1" s="158" t="s">
        <v>259</v>
      </c>
      <c r="I1" s="160"/>
    </row>
    <row r="2" spans="1:9" ht="15.5" x14ac:dyDescent="0.35">
      <c r="A2" s="171" t="s">
        <v>117</v>
      </c>
      <c r="B2" s="165">
        <v>15</v>
      </c>
      <c r="C2" s="240">
        <v>4200</v>
      </c>
      <c r="D2" s="166">
        <v>0.01</v>
      </c>
      <c r="E2" s="110"/>
      <c r="G2" s="133" t="s">
        <v>260</v>
      </c>
      <c r="I2" s="161"/>
    </row>
    <row r="3" spans="1:9" ht="15.5" x14ac:dyDescent="0.35">
      <c r="A3" s="171" t="s">
        <v>118</v>
      </c>
      <c r="B3" s="165">
        <v>30</v>
      </c>
      <c r="C3" s="240">
        <v>8838</v>
      </c>
      <c r="D3" s="166">
        <v>0.01</v>
      </c>
      <c r="E3" s="110"/>
      <c r="G3" s="133" t="s">
        <v>261</v>
      </c>
      <c r="I3" s="161"/>
    </row>
    <row r="4" spans="1:9" ht="15.5" x14ac:dyDescent="0.35">
      <c r="A4" s="171" t="s">
        <v>119</v>
      </c>
      <c r="B4" s="165">
        <v>30</v>
      </c>
      <c r="C4" s="240">
        <v>9238</v>
      </c>
      <c r="D4" s="241">
        <v>0.01</v>
      </c>
      <c r="E4" s="110"/>
      <c r="G4" s="133" t="s">
        <v>262</v>
      </c>
      <c r="I4" s="161"/>
    </row>
    <row r="5" spans="1:9" ht="15.5" x14ac:dyDescent="0.35">
      <c r="A5" s="171" t="s">
        <v>332</v>
      </c>
      <c r="B5" s="165">
        <v>30</v>
      </c>
      <c r="C5" s="240">
        <v>10071</v>
      </c>
      <c r="D5" s="241">
        <v>0.02</v>
      </c>
      <c r="E5" s="110"/>
      <c r="G5" s="133" t="s">
        <v>324</v>
      </c>
      <c r="I5" s="161"/>
    </row>
    <row r="6" spans="1:9" ht="15.5" x14ac:dyDescent="0.35">
      <c r="A6" s="171" t="s">
        <v>120</v>
      </c>
      <c r="B6" s="165">
        <v>105</v>
      </c>
      <c r="C6" s="240">
        <v>32347</v>
      </c>
      <c r="D6" s="241">
        <v>0.01</v>
      </c>
      <c r="E6" s="110"/>
      <c r="G6" s="133" t="s">
        <v>78</v>
      </c>
      <c r="I6" s="161"/>
    </row>
    <row r="7" spans="1:9" ht="15.5" x14ac:dyDescent="0.35">
      <c r="A7" s="171" t="s">
        <v>121</v>
      </c>
      <c r="B7" s="165">
        <v>25</v>
      </c>
      <c r="C7" s="240">
        <v>6900</v>
      </c>
      <c r="D7" s="241">
        <v>0.02</v>
      </c>
      <c r="E7" s="110"/>
      <c r="H7" s="162"/>
      <c r="I7" s="161"/>
    </row>
    <row r="8" spans="1:9" ht="15.5" x14ac:dyDescent="0.35">
      <c r="A8" s="171" t="s">
        <v>122</v>
      </c>
      <c r="B8" s="165">
        <v>35</v>
      </c>
      <c r="C8" s="240">
        <v>11289</v>
      </c>
      <c r="D8" s="241">
        <v>0.02</v>
      </c>
      <c r="E8" s="110"/>
      <c r="I8" s="161"/>
    </row>
    <row r="9" spans="1:9" ht="15.5" x14ac:dyDescent="0.35">
      <c r="A9" s="171" t="s">
        <v>123</v>
      </c>
      <c r="B9" s="165">
        <v>40</v>
      </c>
      <c r="C9" s="240">
        <v>12320</v>
      </c>
      <c r="D9" s="166">
        <v>0.02</v>
      </c>
      <c r="E9" s="110"/>
      <c r="I9" s="161"/>
    </row>
    <row r="10" spans="1:9" ht="15.5" x14ac:dyDescent="0.35">
      <c r="A10" s="171" t="s">
        <v>333</v>
      </c>
      <c r="B10" s="165">
        <v>25</v>
      </c>
      <c r="C10" s="240">
        <v>8419</v>
      </c>
      <c r="D10" s="166">
        <v>0.02</v>
      </c>
      <c r="E10" s="110"/>
      <c r="I10" s="161"/>
    </row>
    <row r="11" spans="1:9" ht="15.5" x14ac:dyDescent="0.35">
      <c r="A11" s="171" t="s">
        <v>124</v>
      </c>
      <c r="B11" s="165">
        <v>125</v>
      </c>
      <c r="C11" s="240">
        <v>38928</v>
      </c>
      <c r="D11" s="166">
        <v>0.02</v>
      </c>
      <c r="E11" s="110"/>
      <c r="I11" s="161"/>
    </row>
    <row r="12" spans="1:9" ht="15.5" x14ac:dyDescent="0.35">
      <c r="A12" s="171" t="s">
        <v>125</v>
      </c>
      <c r="B12" s="165">
        <v>30</v>
      </c>
      <c r="C12" s="240">
        <v>8400</v>
      </c>
      <c r="D12" s="166">
        <v>0.02</v>
      </c>
      <c r="E12" s="110"/>
      <c r="I12" s="161"/>
    </row>
    <row r="13" spans="1:9" ht="15.5" x14ac:dyDescent="0.35">
      <c r="A13" s="171" t="s">
        <v>126</v>
      </c>
      <c r="B13" s="165">
        <v>70</v>
      </c>
      <c r="C13" s="240">
        <v>21326</v>
      </c>
      <c r="D13" s="166">
        <v>0.03</v>
      </c>
      <c r="E13" s="110"/>
      <c r="I13" s="161"/>
    </row>
    <row r="14" spans="1:9" ht="15.5" x14ac:dyDescent="0.35">
      <c r="A14" s="171" t="s">
        <v>127</v>
      </c>
      <c r="B14" s="165">
        <v>60</v>
      </c>
      <c r="C14" s="240">
        <v>17861</v>
      </c>
      <c r="D14" s="166">
        <v>0.02</v>
      </c>
      <c r="E14" s="110"/>
      <c r="I14" s="161"/>
    </row>
    <row r="15" spans="1:9" ht="15.5" x14ac:dyDescent="0.35">
      <c r="A15" s="171" t="s">
        <v>334</v>
      </c>
      <c r="B15" s="165">
        <v>50</v>
      </c>
      <c r="C15" s="240">
        <v>15457</v>
      </c>
      <c r="D15" s="166">
        <v>0.03</v>
      </c>
      <c r="E15" s="110"/>
      <c r="I15" s="161"/>
    </row>
    <row r="16" spans="1:9" ht="15.5" x14ac:dyDescent="0.35">
      <c r="A16" s="171" t="s">
        <v>128</v>
      </c>
      <c r="B16" s="165">
        <v>205</v>
      </c>
      <c r="C16" s="240">
        <v>63044</v>
      </c>
      <c r="D16" s="166">
        <v>0.03</v>
      </c>
      <c r="E16" s="110"/>
      <c r="I16" s="161"/>
    </row>
    <row r="17" spans="1:9" ht="15.5" x14ac:dyDescent="0.35">
      <c r="A17" s="171" t="s">
        <v>129</v>
      </c>
      <c r="B17" s="165">
        <v>25</v>
      </c>
      <c r="C17" s="240">
        <v>7200</v>
      </c>
      <c r="D17" s="166">
        <v>0.02</v>
      </c>
      <c r="E17" s="110"/>
      <c r="I17" s="161"/>
    </row>
    <row r="18" spans="1:9" ht="15.5" x14ac:dyDescent="0.35">
      <c r="A18" s="171" t="s">
        <v>130</v>
      </c>
      <c r="B18" s="165">
        <v>60</v>
      </c>
      <c r="C18" s="240">
        <v>17665</v>
      </c>
      <c r="D18" s="166">
        <v>0.03</v>
      </c>
      <c r="E18" s="110"/>
      <c r="I18" s="161"/>
    </row>
    <row r="19" spans="1:9" ht="15.5" x14ac:dyDescent="0.35">
      <c r="A19" s="171" t="s">
        <v>131</v>
      </c>
      <c r="B19" s="165">
        <v>55</v>
      </c>
      <c r="C19" s="240">
        <v>16930</v>
      </c>
      <c r="D19" s="166">
        <v>0.02</v>
      </c>
      <c r="E19" s="110"/>
      <c r="I19" s="161"/>
    </row>
    <row r="20" spans="1:9" ht="15.5" x14ac:dyDescent="0.35">
      <c r="A20" s="171" t="s">
        <v>335</v>
      </c>
      <c r="B20" s="165">
        <v>45</v>
      </c>
      <c r="C20" s="240">
        <v>13824</v>
      </c>
      <c r="D20" s="166">
        <v>0.03</v>
      </c>
      <c r="E20" s="110"/>
      <c r="I20" s="161"/>
    </row>
    <row r="21" spans="1:9" ht="15.5" x14ac:dyDescent="0.35">
      <c r="A21" s="171" t="s">
        <v>132</v>
      </c>
      <c r="B21" s="165">
        <v>180</v>
      </c>
      <c r="C21" s="240">
        <v>55619</v>
      </c>
      <c r="D21" s="166">
        <v>0.02</v>
      </c>
      <c r="E21" s="110"/>
      <c r="I21" s="161"/>
    </row>
    <row r="22" spans="1:9" ht="15.5" x14ac:dyDescent="0.35">
      <c r="A22" s="171" t="s">
        <v>133</v>
      </c>
      <c r="B22" s="165">
        <v>10</v>
      </c>
      <c r="C22" s="240">
        <v>3000</v>
      </c>
      <c r="D22" s="166">
        <v>0.01</v>
      </c>
      <c r="E22" s="110"/>
      <c r="I22" s="161"/>
    </row>
    <row r="23" spans="1:9" ht="15.5" x14ac:dyDescent="0.35">
      <c r="A23" s="171" t="s">
        <v>134</v>
      </c>
      <c r="B23" s="165">
        <v>25</v>
      </c>
      <c r="C23" s="240">
        <v>8228</v>
      </c>
      <c r="D23" s="166">
        <v>0.01</v>
      </c>
      <c r="E23" s="110"/>
      <c r="I23" s="161"/>
    </row>
    <row r="24" spans="1:9" ht="15.5" x14ac:dyDescent="0.35">
      <c r="A24" s="171" t="s">
        <v>135</v>
      </c>
      <c r="B24" s="165">
        <v>30</v>
      </c>
      <c r="C24" s="240">
        <v>9238</v>
      </c>
      <c r="D24" s="166">
        <v>0.01</v>
      </c>
      <c r="E24" s="110"/>
      <c r="I24" s="161"/>
    </row>
    <row r="25" spans="1:9" ht="15.5" x14ac:dyDescent="0.35">
      <c r="A25" s="171" t="s">
        <v>336</v>
      </c>
      <c r="B25" s="165">
        <v>20</v>
      </c>
      <c r="C25" s="240">
        <v>5824</v>
      </c>
      <c r="D25" s="166">
        <v>0.01</v>
      </c>
      <c r="E25" s="110"/>
      <c r="I25" s="161"/>
    </row>
    <row r="26" spans="1:9" ht="15.5" x14ac:dyDescent="0.35">
      <c r="A26" s="171" t="s">
        <v>136</v>
      </c>
      <c r="B26" s="165">
        <v>85</v>
      </c>
      <c r="C26" s="240">
        <v>26290</v>
      </c>
      <c r="D26" s="166">
        <v>0.01</v>
      </c>
      <c r="E26" s="110"/>
      <c r="I26" s="161"/>
    </row>
    <row r="27" spans="1:9" ht="15.5" x14ac:dyDescent="0.35">
      <c r="A27" s="171" t="s">
        <v>137</v>
      </c>
      <c r="B27" s="165">
        <v>45</v>
      </c>
      <c r="C27" s="240">
        <v>12900</v>
      </c>
      <c r="D27" s="166">
        <v>0.04</v>
      </c>
      <c r="E27" s="110"/>
      <c r="I27" s="161"/>
    </row>
    <row r="28" spans="1:9" ht="15.5" x14ac:dyDescent="0.35">
      <c r="A28" s="171" t="s">
        <v>138</v>
      </c>
      <c r="B28" s="165">
        <v>70</v>
      </c>
      <c r="C28" s="240">
        <v>21642</v>
      </c>
      <c r="D28" s="166">
        <v>0.03</v>
      </c>
      <c r="E28" s="110"/>
      <c r="I28" s="161"/>
    </row>
    <row r="29" spans="1:9" ht="15.5" x14ac:dyDescent="0.35">
      <c r="A29" s="171" t="s">
        <v>139</v>
      </c>
      <c r="B29" s="165">
        <v>85</v>
      </c>
      <c r="C29" s="240">
        <v>26779</v>
      </c>
      <c r="D29" s="166">
        <v>0.04</v>
      </c>
      <c r="E29" s="110"/>
      <c r="I29" s="161"/>
    </row>
    <row r="30" spans="1:9" ht="15.5" x14ac:dyDescent="0.35">
      <c r="A30" s="171" t="s">
        <v>337</v>
      </c>
      <c r="B30" s="165">
        <v>60</v>
      </c>
      <c r="C30" s="240">
        <v>20067</v>
      </c>
      <c r="D30" s="166">
        <v>0.04</v>
      </c>
      <c r="E30" s="110"/>
      <c r="I30" s="161"/>
    </row>
    <row r="31" spans="1:9" ht="15.5" x14ac:dyDescent="0.35">
      <c r="A31" s="171" t="s">
        <v>140</v>
      </c>
      <c r="B31" s="165">
        <v>265</v>
      </c>
      <c r="C31" s="240">
        <v>81388</v>
      </c>
      <c r="D31" s="166">
        <v>0.04</v>
      </c>
      <c r="E31" s="110"/>
      <c r="I31" s="161"/>
    </row>
    <row r="32" spans="1:9" ht="15.5" x14ac:dyDescent="0.35">
      <c r="A32" s="171" t="s">
        <v>141</v>
      </c>
      <c r="B32" s="165">
        <v>40</v>
      </c>
      <c r="C32" s="240">
        <v>11700</v>
      </c>
      <c r="D32" s="166">
        <v>0.03</v>
      </c>
      <c r="E32" s="110"/>
      <c r="I32" s="161"/>
    </row>
    <row r="33" spans="1:9" ht="15.5" x14ac:dyDescent="0.35">
      <c r="A33" s="171" t="s">
        <v>142</v>
      </c>
      <c r="B33" s="165">
        <v>80</v>
      </c>
      <c r="C33" s="240">
        <v>23757</v>
      </c>
      <c r="D33" s="166">
        <v>0.03</v>
      </c>
      <c r="E33" s="110"/>
      <c r="I33" s="161"/>
    </row>
    <row r="34" spans="1:9" ht="15.5" x14ac:dyDescent="0.35">
      <c r="A34" s="171" t="s">
        <v>143</v>
      </c>
      <c r="B34" s="165">
        <v>100</v>
      </c>
      <c r="C34" s="240">
        <v>30482</v>
      </c>
      <c r="D34" s="166">
        <v>0.04</v>
      </c>
      <c r="E34" s="110"/>
      <c r="I34" s="161"/>
    </row>
    <row r="35" spans="1:9" ht="15.5" x14ac:dyDescent="0.35">
      <c r="A35" s="171" t="s">
        <v>338</v>
      </c>
      <c r="B35" s="165">
        <v>65</v>
      </c>
      <c r="C35" s="240">
        <v>20881</v>
      </c>
      <c r="D35" s="166">
        <v>0.04</v>
      </c>
      <c r="E35" s="110"/>
      <c r="I35" s="161"/>
    </row>
    <row r="36" spans="1:9" ht="15.5" x14ac:dyDescent="0.35">
      <c r="A36" s="171" t="s">
        <v>144</v>
      </c>
      <c r="B36" s="165">
        <v>280</v>
      </c>
      <c r="C36" s="240">
        <v>86820</v>
      </c>
      <c r="D36" s="166">
        <v>0.04</v>
      </c>
      <c r="E36" s="110"/>
      <c r="I36" s="161"/>
    </row>
    <row r="37" spans="1:9" ht="15.5" x14ac:dyDescent="0.35">
      <c r="A37" s="171" t="s">
        <v>145</v>
      </c>
      <c r="B37" s="165">
        <v>40</v>
      </c>
      <c r="C37" s="240">
        <v>12300</v>
      </c>
      <c r="D37" s="166">
        <v>0.04</v>
      </c>
      <c r="E37" s="110"/>
      <c r="I37" s="161"/>
    </row>
    <row r="38" spans="1:9" ht="15.5" x14ac:dyDescent="0.35">
      <c r="A38" s="171" t="s">
        <v>146</v>
      </c>
      <c r="B38" s="165">
        <v>75</v>
      </c>
      <c r="C38" s="240">
        <v>23452</v>
      </c>
      <c r="D38" s="166">
        <v>0.03</v>
      </c>
      <c r="E38" s="110"/>
      <c r="I38" s="161"/>
    </row>
    <row r="39" spans="1:9" ht="15.5" x14ac:dyDescent="0.35">
      <c r="A39" s="171" t="s">
        <v>147</v>
      </c>
      <c r="B39" s="165">
        <v>65</v>
      </c>
      <c r="C39" s="240">
        <v>20314</v>
      </c>
      <c r="D39" s="166">
        <v>0.03</v>
      </c>
      <c r="E39" s="110"/>
      <c r="I39" s="161"/>
    </row>
    <row r="40" spans="1:9" ht="15.5" x14ac:dyDescent="0.35">
      <c r="A40" s="171" t="s">
        <v>339</v>
      </c>
      <c r="B40" s="165">
        <v>55</v>
      </c>
      <c r="C40" s="240">
        <v>17885</v>
      </c>
      <c r="D40" s="166">
        <v>0.03</v>
      </c>
      <c r="E40" s="110"/>
      <c r="I40" s="161"/>
    </row>
    <row r="41" spans="1:9" ht="15.5" x14ac:dyDescent="0.35">
      <c r="A41" s="171" t="s">
        <v>148</v>
      </c>
      <c r="B41" s="165">
        <v>240</v>
      </c>
      <c r="C41" s="240">
        <v>73951</v>
      </c>
      <c r="D41" s="166">
        <v>0.03</v>
      </c>
      <c r="E41" s="110"/>
      <c r="I41" s="161"/>
    </row>
    <row r="42" spans="1:9" ht="15.5" x14ac:dyDescent="0.35">
      <c r="A42" s="171" t="s">
        <v>149</v>
      </c>
      <c r="B42" s="165">
        <v>35</v>
      </c>
      <c r="C42" s="240">
        <v>10200</v>
      </c>
      <c r="D42" s="166">
        <v>0.03</v>
      </c>
      <c r="E42" s="110"/>
      <c r="I42" s="161"/>
    </row>
    <row r="43" spans="1:9" ht="15.5" x14ac:dyDescent="0.35">
      <c r="A43" s="171" t="s">
        <v>150</v>
      </c>
      <c r="B43" s="165">
        <v>60</v>
      </c>
      <c r="C43" s="240">
        <v>18275</v>
      </c>
      <c r="D43" s="166">
        <v>0.03</v>
      </c>
      <c r="E43" s="110"/>
      <c r="I43" s="161"/>
    </row>
    <row r="44" spans="1:9" ht="15.5" x14ac:dyDescent="0.35">
      <c r="A44" s="171" t="s">
        <v>151</v>
      </c>
      <c r="B44" s="165">
        <v>50</v>
      </c>
      <c r="C44" s="240">
        <v>14776</v>
      </c>
      <c r="D44" s="166">
        <v>0.02</v>
      </c>
      <c r="E44" s="110"/>
      <c r="I44" s="161"/>
    </row>
    <row r="45" spans="1:9" ht="15.5" x14ac:dyDescent="0.35">
      <c r="A45" s="171" t="s">
        <v>340</v>
      </c>
      <c r="B45" s="165">
        <v>35</v>
      </c>
      <c r="C45" s="240">
        <v>11295</v>
      </c>
      <c r="D45" s="166">
        <v>0.02</v>
      </c>
      <c r="E45" s="110"/>
      <c r="I45" s="161"/>
    </row>
    <row r="46" spans="1:9" ht="15.5" x14ac:dyDescent="0.35">
      <c r="A46" s="171" t="s">
        <v>152</v>
      </c>
      <c r="B46" s="165">
        <v>175</v>
      </c>
      <c r="C46" s="240">
        <v>54546</v>
      </c>
      <c r="D46" s="166">
        <v>0.02</v>
      </c>
      <c r="E46" s="110"/>
      <c r="I46" s="161"/>
    </row>
    <row r="47" spans="1:9" ht="15.5" x14ac:dyDescent="0.35">
      <c r="A47" s="171" t="s">
        <v>153</v>
      </c>
      <c r="B47" s="165">
        <v>15</v>
      </c>
      <c r="C47" s="240">
        <v>3900</v>
      </c>
      <c r="D47" s="166">
        <v>0.01</v>
      </c>
      <c r="E47" s="110"/>
      <c r="I47" s="161"/>
    </row>
    <row r="48" spans="1:9" ht="15.5" x14ac:dyDescent="0.35">
      <c r="A48" s="171" t="s">
        <v>154</v>
      </c>
      <c r="B48" s="165">
        <v>25</v>
      </c>
      <c r="C48" s="240">
        <v>8228</v>
      </c>
      <c r="D48" s="166">
        <v>0.01</v>
      </c>
      <c r="E48" s="110"/>
      <c r="I48" s="161"/>
    </row>
    <row r="49" spans="1:9" ht="15.5" x14ac:dyDescent="0.35">
      <c r="A49" s="171" t="s">
        <v>155</v>
      </c>
      <c r="B49" s="165">
        <v>35</v>
      </c>
      <c r="C49" s="240">
        <v>10465</v>
      </c>
      <c r="D49" s="166">
        <v>0.01</v>
      </c>
      <c r="E49" s="110"/>
      <c r="I49" s="161"/>
    </row>
    <row r="50" spans="1:9" ht="15.5" x14ac:dyDescent="0.35">
      <c r="A50" s="171" t="s">
        <v>341</v>
      </c>
      <c r="B50" s="165">
        <v>30</v>
      </c>
      <c r="C50" s="240">
        <v>9306</v>
      </c>
      <c r="D50" s="166">
        <v>0.02</v>
      </c>
      <c r="E50" s="110"/>
      <c r="I50" s="161"/>
    </row>
    <row r="51" spans="1:9" ht="15.5" x14ac:dyDescent="0.35">
      <c r="A51" s="171" t="s">
        <v>156</v>
      </c>
      <c r="B51" s="165">
        <v>105</v>
      </c>
      <c r="C51" s="240">
        <v>31899</v>
      </c>
      <c r="D51" s="166">
        <v>0.01</v>
      </c>
      <c r="E51" s="110"/>
      <c r="I51" s="161"/>
    </row>
    <row r="52" spans="1:9" ht="15.5" x14ac:dyDescent="0.35">
      <c r="A52" s="171" t="s">
        <v>157</v>
      </c>
      <c r="B52" s="165">
        <v>35</v>
      </c>
      <c r="C52" s="240">
        <v>9900</v>
      </c>
      <c r="D52" s="166">
        <v>0.03</v>
      </c>
      <c r="E52" s="110"/>
      <c r="I52" s="161"/>
    </row>
    <row r="53" spans="1:9" ht="15.5" x14ac:dyDescent="0.35">
      <c r="A53" s="171" t="s">
        <v>158</v>
      </c>
      <c r="B53" s="165">
        <v>50</v>
      </c>
      <c r="C53" s="240">
        <v>15550</v>
      </c>
      <c r="D53" s="166">
        <v>0.02</v>
      </c>
      <c r="E53" s="110"/>
      <c r="I53" s="161"/>
    </row>
    <row r="54" spans="1:9" ht="15.5" x14ac:dyDescent="0.35">
      <c r="A54" s="171" t="s">
        <v>159</v>
      </c>
      <c r="B54" s="165">
        <v>50</v>
      </c>
      <c r="C54" s="240">
        <v>14770</v>
      </c>
      <c r="D54" s="166">
        <v>0.02</v>
      </c>
      <c r="E54" s="110"/>
      <c r="I54" s="161"/>
    </row>
    <row r="55" spans="1:9" ht="15.5" x14ac:dyDescent="0.35">
      <c r="A55" s="171" t="s">
        <v>342</v>
      </c>
      <c r="B55" s="165">
        <v>40</v>
      </c>
      <c r="C55" s="240">
        <v>12752</v>
      </c>
      <c r="D55" s="166">
        <v>0.02</v>
      </c>
      <c r="E55" s="110"/>
      <c r="I55" s="161"/>
    </row>
    <row r="56" spans="1:9" ht="15.5" x14ac:dyDescent="0.35">
      <c r="A56" s="171" t="s">
        <v>160</v>
      </c>
      <c r="B56" s="165">
        <v>170</v>
      </c>
      <c r="C56" s="240">
        <v>52971</v>
      </c>
      <c r="D56" s="166">
        <v>0.02</v>
      </c>
      <c r="E56" s="110"/>
      <c r="I56" s="161"/>
    </row>
    <row r="57" spans="1:9" ht="15.5" x14ac:dyDescent="0.35">
      <c r="A57" s="171" t="s">
        <v>161</v>
      </c>
      <c r="B57" s="165">
        <v>40</v>
      </c>
      <c r="C57" s="240">
        <v>11400</v>
      </c>
      <c r="D57" s="166">
        <v>0.03</v>
      </c>
      <c r="E57" s="110"/>
      <c r="I57" s="161"/>
    </row>
    <row r="58" spans="1:9" ht="15.5" x14ac:dyDescent="0.35">
      <c r="A58" s="171" t="s">
        <v>162</v>
      </c>
      <c r="B58" s="165">
        <v>85</v>
      </c>
      <c r="C58" s="240">
        <v>25288</v>
      </c>
      <c r="D58" s="166">
        <v>0.04</v>
      </c>
      <c r="E58" s="110"/>
      <c r="I58" s="161"/>
    </row>
    <row r="59" spans="1:9" ht="15.5" x14ac:dyDescent="0.35">
      <c r="A59" s="171" t="s">
        <v>163</v>
      </c>
      <c r="B59" s="165">
        <v>95</v>
      </c>
      <c r="C59" s="240">
        <v>29250</v>
      </c>
      <c r="D59" s="166">
        <v>0.04</v>
      </c>
      <c r="E59" s="110"/>
      <c r="I59" s="161"/>
    </row>
    <row r="60" spans="1:9" ht="15.5" x14ac:dyDescent="0.35">
      <c r="A60" s="171" t="s">
        <v>343</v>
      </c>
      <c r="B60" s="165">
        <v>60</v>
      </c>
      <c r="C60" s="240">
        <v>19630</v>
      </c>
      <c r="D60" s="166">
        <v>0.04</v>
      </c>
      <c r="E60" s="110"/>
      <c r="I60" s="161"/>
    </row>
    <row r="61" spans="1:9" ht="15.5" x14ac:dyDescent="0.35">
      <c r="A61" s="171" t="s">
        <v>164</v>
      </c>
      <c r="B61" s="165">
        <v>275</v>
      </c>
      <c r="C61" s="240">
        <v>85567</v>
      </c>
      <c r="D61" s="166">
        <v>0.04</v>
      </c>
      <c r="E61" s="110"/>
      <c r="I61" s="161"/>
    </row>
    <row r="62" spans="1:9" ht="15.5" x14ac:dyDescent="0.35">
      <c r="A62" s="171" t="s">
        <v>165</v>
      </c>
      <c r="B62" s="165">
        <v>35</v>
      </c>
      <c r="C62" s="240">
        <v>11100</v>
      </c>
      <c r="D62" s="166">
        <v>0.03</v>
      </c>
      <c r="E62" s="110"/>
      <c r="I62" s="161"/>
    </row>
    <row r="63" spans="1:9" ht="15.5" x14ac:dyDescent="0.35">
      <c r="A63" s="171" t="s">
        <v>166</v>
      </c>
      <c r="B63" s="165">
        <v>65</v>
      </c>
      <c r="C63" s="240">
        <v>19496</v>
      </c>
      <c r="D63" s="166">
        <v>0.03</v>
      </c>
      <c r="E63" s="110"/>
      <c r="I63" s="161"/>
    </row>
    <row r="64" spans="1:9" ht="15.5" x14ac:dyDescent="0.35">
      <c r="A64" s="171" t="s">
        <v>167</v>
      </c>
      <c r="B64" s="165">
        <v>75</v>
      </c>
      <c r="C64" s="240">
        <v>22776</v>
      </c>
      <c r="D64" s="166">
        <v>0.03</v>
      </c>
      <c r="E64" s="110"/>
      <c r="I64" s="161"/>
    </row>
    <row r="65" spans="1:9" ht="15.5" x14ac:dyDescent="0.35">
      <c r="A65" s="171" t="s">
        <v>344</v>
      </c>
      <c r="B65" s="165">
        <v>60</v>
      </c>
      <c r="C65" s="240">
        <v>19359</v>
      </c>
      <c r="D65" s="166">
        <v>0.04</v>
      </c>
      <c r="E65" s="110"/>
      <c r="I65" s="161"/>
    </row>
    <row r="66" spans="1:9" ht="15.5" x14ac:dyDescent="0.35">
      <c r="A66" s="171" t="s">
        <v>168</v>
      </c>
      <c r="B66" s="165">
        <v>235</v>
      </c>
      <c r="C66" s="240">
        <v>72730</v>
      </c>
      <c r="D66" s="166">
        <v>0.03</v>
      </c>
      <c r="E66" s="110"/>
      <c r="I66" s="161"/>
    </row>
    <row r="67" spans="1:9" ht="15.5" x14ac:dyDescent="0.35">
      <c r="A67" s="171" t="s">
        <v>169</v>
      </c>
      <c r="B67" s="165">
        <v>65</v>
      </c>
      <c r="C67" s="240">
        <v>19500</v>
      </c>
      <c r="D67" s="166">
        <v>0.06</v>
      </c>
      <c r="E67" s="110"/>
      <c r="I67" s="161"/>
    </row>
    <row r="68" spans="1:9" ht="15.5" x14ac:dyDescent="0.35">
      <c r="A68" s="171" t="s">
        <v>170</v>
      </c>
      <c r="B68" s="165">
        <v>155</v>
      </c>
      <c r="C68" s="240">
        <v>47229</v>
      </c>
      <c r="D68" s="166">
        <v>7.0000000000000007E-2</v>
      </c>
      <c r="E68" s="110"/>
      <c r="I68" s="161"/>
    </row>
    <row r="69" spans="1:9" ht="15.5" x14ac:dyDescent="0.35">
      <c r="A69" s="171" t="s">
        <v>171</v>
      </c>
      <c r="B69" s="165">
        <v>180</v>
      </c>
      <c r="C69" s="240">
        <v>56044</v>
      </c>
      <c r="D69" s="166">
        <v>0.08</v>
      </c>
      <c r="E69" s="110"/>
      <c r="I69" s="161"/>
    </row>
    <row r="70" spans="1:9" ht="15.5" x14ac:dyDescent="0.35">
      <c r="A70" s="171" t="s">
        <v>345</v>
      </c>
      <c r="B70" s="165">
        <v>135</v>
      </c>
      <c r="C70" s="240">
        <v>43832</v>
      </c>
      <c r="D70" s="166">
        <v>0.08</v>
      </c>
      <c r="E70" s="110"/>
      <c r="I70" s="161"/>
    </row>
    <row r="71" spans="1:9" ht="15.5" x14ac:dyDescent="0.35">
      <c r="A71" s="171" t="s">
        <v>172</v>
      </c>
      <c r="B71" s="165">
        <v>540</v>
      </c>
      <c r="C71" s="240">
        <v>166605</v>
      </c>
      <c r="D71" s="166">
        <v>7.0000000000000007E-2</v>
      </c>
      <c r="E71" s="110"/>
      <c r="I71" s="161"/>
    </row>
    <row r="72" spans="1:9" ht="15.5" x14ac:dyDescent="0.35">
      <c r="A72" s="171" t="s">
        <v>173</v>
      </c>
      <c r="B72" s="165">
        <v>150</v>
      </c>
      <c r="C72" s="240">
        <v>44700</v>
      </c>
      <c r="D72" s="166">
        <v>0.13</v>
      </c>
      <c r="E72" s="110"/>
      <c r="I72" s="161"/>
    </row>
    <row r="73" spans="1:9" ht="15.5" x14ac:dyDescent="0.35">
      <c r="A73" s="171" t="s">
        <v>174</v>
      </c>
      <c r="B73" s="165">
        <v>340</v>
      </c>
      <c r="C73" s="240">
        <v>102991</v>
      </c>
      <c r="D73" s="166">
        <v>0.15</v>
      </c>
      <c r="E73" s="110"/>
      <c r="I73" s="161"/>
    </row>
    <row r="74" spans="1:9" ht="15.5" x14ac:dyDescent="0.35">
      <c r="A74" s="171" t="s">
        <v>175</v>
      </c>
      <c r="B74" s="165">
        <v>370</v>
      </c>
      <c r="C74" s="240">
        <v>113936</v>
      </c>
      <c r="D74" s="166">
        <v>0.16</v>
      </c>
      <c r="E74" s="110"/>
      <c r="I74" s="161"/>
    </row>
    <row r="75" spans="1:9" ht="15.5" x14ac:dyDescent="0.35">
      <c r="A75" s="171" t="s">
        <v>346</v>
      </c>
      <c r="B75" s="165">
        <v>235</v>
      </c>
      <c r="C75" s="240">
        <v>76325</v>
      </c>
      <c r="D75" s="166">
        <v>0.15</v>
      </c>
      <c r="E75" s="110"/>
      <c r="I75" s="161"/>
    </row>
    <row r="76" spans="1:9" ht="15.5" x14ac:dyDescent="0.35">
      <c r="A76" s="171" t="s">
        <v>176</v>
      </c>
      <c r="B76" s="165">
        <v>1095</v>
      </c>
      <c r="C76" s="240">
        <v>337952</v>
      </c>
      <c r="D76" s="166">
        <v>0.15</v>
      </c>
      <c r="E76" s="110"/>
      <c r="I76" s="161"/>
    </row>
    <row r="77" spans="1:9" ht="15.5" x14ac:dyDescent="0.35">
      <c r="A77" s="171" t="s">
        <v>177</v>
      </c>
      <c r="B77" s="165">
        <v>40</v>
      </c>
      <c r="C77" s="240">
        <v>11700</v>
      </c>
      <c r="D77" s="166">
        <v>0.03</v>
      </c>
      <c r="E77" s="110"/>
      <c r="I77" s="161"/>
    </row>
    <row r="78" spans="1:9" ht="15.5" x14ac:dyDescent="0.35">
      <c r="A78" s="171" t="s">
        <v>178</v>
      </c>
      <c r="B78" s="165">
        <v>95</v>
      </c>
      <c r="C78" s="240">
        <v>28349</v>
      </c>
      <c r="D78" s="166">
        <v>0.04</v>
      </c>
      <c r="E78" s="110"/>
      <c r="I78" s="161"/>
    </row>
    <row r="79" spans="1:9" ht="15.5" x14ac:dyDescent="0.35">
      <c r="A79" s="171" t="s">
        <v>179</v>
      </c>
      <c r="B79" s="165">
        <v>85</v>
      </c>
      <c r="C79" s="240">
        <v>26498</v>
      </c>
      <c r="D79" s="166">
        <v>0.04</v>
      </c>
      <c r="E79" s="110"/>
      <c r="I79" s="161"/>
    </row>
    <row r="80" spans="1:9" ht="15.5" x14ac:dyDescent="0.35">
      <c r="A80" s="171" t="s">
        <v>347</v>
      </c>
      <c r="B80" s="165">
        <v>55</v>
      </c>
      <c r="C80" s="240">
        <v>16961</v>
      </c>
      <c r="D80" s="166">
        <v>0.03</v>
      </c>
      <c r="E80" s="110"/>
      <c r="I80" s="161"/>
    </row>
    <row r="81" spans="1:9" ht="15.5" x14ac:dyDescent="0.35">
      <c r="A81" s="171" t="s">
        <v>180</v>
      </c>
      <c r="B81" s="165">
        <v>270</v>
      </c>
      <c r="C81" s="240">
        <v>83508</v>
      </c>
      <c r="D81" s="166">
        <v>0.04</v>
      </c>
      <c r="E81" s="110"/>
      <c r="I81" s="161"/>
    </row>
    <row r="82" spans="1:9" x14ac:dyDescent="0.35">
      <c r="A82" s="172" t="s">
        <v>181</v>
      </c>
      <c r="B82" s="165">
        <v>50</v>
      </c>
      <c r="C82" s="240">
        <v>14400</v>
      </c>
      <c r="D82" s="166">
        <v>0.04</v>
      </c>
      <c r="E82" s="110"/>
      <c r="I82" s="160"/>
    </row>
    <row r="83" spans="1:9" x14ac:dyDescent="0.35">
      <c r="A83" s="172" t="s">
        <v>182</v>
      </c>
      <c r="B83" s="165">
        <v>80</v>
      </c>
      <c r="C83" s="240">
        <v>24088</v>
      </c>
      <c r="D83" s="166">
        <v>0.03</v>
      </c>
      <c r="E83" s="110"/>
    </row>
    <row r="84" spans="1:9" x14ac:dyDescent="0.35">
      <c r="A84" s="172" t="s">
        <v>183</v>
      </c>
      <c r="B84" s="165">
        <v>85</v>
      </c>
      <c r="C84" s="240">
        <v>25567</v>
      </c>
      <c r="D84" s="166">
        <v>0.03</v>
      </c>
      <c r="E84" s="110"/>
    </row>
    <row r="85" spans="1:9" x14ac:dyDescent="0.35">
      <c r="A85" s="172" t="s">
        <v>348</v>
      </c>
      <c r="B85" s="165">
        <v>40</v>
      </c>
      <c r="C85" s="240">
        <v>12536</v>
      </c>
      <c r="D85" s="166">
        <v>0.02</v>
      </c>
      <c r="E85" s="110"/>
    </row>
    <row r="86" spans="1:9" x14ac:dyDescent="0.35">
      <c r="A86" s="172" t="s">
        <v>184</v>
      </c>
      <c r="B86" s="165">
        <v>250</v>
      </c>
      <c r="C86" s="240">
        <v>76591</v>
      </c>
      <c r="D86" s="166">
        <v>0.03</v>
      </c>
      <c r="E86" s="110"/>
    </row>
    <row r="87" spans="1:9" x14ac:dyDescent="0.35">
      <c r="A87" s="172" t="s">
        <v>185</v>
      </c>
      <c r="B87" s="165">
        <v>20</v>
      </c>
      <c r="C87" s="240">
        <v>6000</v>
      </c>
      <c r="D87" s="166">
        <v>0.02</v>
      </c>
      <c r="E87" s="110"/>
    </row>
    <row r="88" spans="1:9" x14ac:dyDescent="0.35">
      <c r="A88" s="172" t="s">
        <v>186</v>
      </c>
      <c r="B88" s="165">
        <v>40</v>
      </c>
      <c r="C88" s="240">
        <v>11889</v>
      </c>
      <c r="D88" s="166">
        <v>0.02</v>
      </c>
      <c r="E88" s="110"/>
    </row>
    <row r="89" spans="1:9" x14ac:dyDescent="0.35">
      <c r="A89" s="172" t="s">
        <v>187</v>
      </c>
      <c r="B89" s="165">
        <v>40</v>
      </c>
      <c r="C89" s="240">
        <v>12015</v>
      </c>
      <c r="D89" s="166">
        <v>0.02</v>
      </c>
      <c r="E89" s="110"/>
    </row>
    <row r="90" spans="1:9" x14ac:dyDescent="0.35">
      <c r="A90" s="172" t="s">
        <v>349</v>
      </c>
      <c r="B90" s="165">
        <v>15</v>
      </c>
      <c r="C90" s="240">
        <v>5498</v>
      </c>
      <c r="D90" s="166">
        <v>0.01</v>
      </c>
      <c r="E90" s="110"/>
    </row>
    <row r="91" spans="1:9" x14ac:dyDescent="0.35">
      <c r="A91" s="172" t="s">
        <v>188</v>
      </c>
      <c r="B91" s="165">
        <v>115</v>
      </c>
      <c r="C91" s="240">
        <v>35401</v>
      </c>
      <c r="D91" s="166">
        <v>0.02</v>
      </c>
      <c r="E91" s="110"/>
    </row>
    <row r="92" spans="1:9" x14ac:dyDescent="0.35">
      <c r="A92" s="172" t="s">
        <v>189</v>
      </c>
      <c r="B92" s="165">
        <v>10</v>
      </c>
      <c r="C92" s="240">
        <v>3300</v>
      </c>
      <c r="D92" s="166">
        <v>0.01</v>
      </c>
      <c r="E92" s="110"/>
    </row>
    <row r="93" spans="1:9" x14ac:dyDescent="0.35">
      <c r="A93" s="172" t="s">
        <v>190</v>
      </c>
      <c r="B93" s="165">
        <v>25</v>
      </c>
      <c r="C93" s="240">
        <v>7622</v>
      </c>
      <c r="D93" s="166">
        <v>0.01</v>
      </c>
      <c r="E93" s="110"/>
    </row>
    <row r="94" spans="1:9" x14ac:dyDescent="0.35">
      <c r="A94" s="171" t="s">
        <v>191</v>
      </c>
      <c r="B94" s="165">
        <v>20</v>
      </c>
      <c r="C94" s="240">
        <v>6160</v>
      </c>
      <c r="D94" s="166">
        <v>0.01</v>
      </c>
      <c r="E94" s="110"/>
    </row>
    <row r="95" spans="1:9" x14ac:dyDescent="0.35">
      <c r="A95" s="171" t="s">
        <v>350</v>
      </c>
      <c r="B95" s="165">
        <v>10</v>
      </c>
      <c r="C95" s="240">
        <v>3519</v>
      </c>
      <c r="D95" s="166">
        <v>0.01</v>
      </c>
      <c r="E95" s="110"/>
    </row>
    <row r="96" spans="1:9" x14ac:dyDescent="0.35">
      <c r="A96" s="171" t="s">
        <v>192</v>
      </c>
      <c r="B96" s="165">
        <v>65</v>
      </c>
      <c r="C96" s="240">
        <v>20602</v>
      </c>
      <c r="D96" s="166">
        <v>0.01</v>
      </c>
      <c r="E96" s="110"/>
    </row>
    <row r="97" spans="1:5" x14ac:dyDescent="0.35">
      <c r="A97" s="171" t="s">
        <v>193</v>
      </c>
      <c r="B97" s="165">
        <v>5</v>
      </c>
      <c r="C97" s="240">
        <v>1500</v>
      </c>
      <c r="D97" s="166">
        <v>0</v>
      </c>
      <c r="E97" s="110"/>
    </row>
    <row r="98" spans="1:5" x14ac:dyDescent="0.35">
      <c r="A98" s="171" t="s">
        <v>194</v>
      </c>
      <c r="B98" s="165">
        <v>10</v>
      </c>
      <c r="C98" s="240">
        <v>2736</v>
      </c>
      <c r="D98" s="166">
        <v>0</v>
      </c>
      <c r="E98" s="110"/>
    </row>
    <row r="99" spans="1:5" x14ac:dyDescent="0.35">
      <c r="A99" s="171" t="s">
        <v>195</v>
      </c>
      <c r="B99" s="165">
        <v>5</v>
      </c>
      <c r="C99" s="240">
        <v>2154</v>
      </c>
      <c r="D99" s="166">
        <v>0</v>
      </c>
      <c r="E99" s="110"/>
    </row>
    <row r="100" spans="1:5" x14ac:dyDescent="0.35">
      <c r="A100" s="171" t="s">
        <v>351</v>
      </c>
      <c r="B100" s="269" t="s">
        <v>109</v>
      </c>
      <c r="C100" s="269" t="s">
        <v>109</v>
      </c>
      <c r="D100" s="269" t="s">
        <v>109</v>
      </c>
      <c r="E100" s="110"/>
    </row>
    <row r="101" spans="1:5" x14ac:dyDescent="0.35">
      <c r="A101" s="171" t="s">
        <v>196</v>
      </c>
      <c r="B101" s="269">
        <v>25</v>
      </c>
      <c r="C101" s="270">
        <v>7678</v>
      </c>
      <c r="D101" s="268">
        <v>0</v>
      </c>
      <c r="E101" s="110"/>
    </row>
    <row r="102" spans="1:5" x14ac:dyDescent="0.35">
      <c r="A102" s="171" t="s">
        <v>197</v>
      </c>
      <c r="B102" s="269" t="s">
        <v>109</v>
      </c>
      <c r="C102" s="270" t="s">
        <v>109</v>
      </c>
      <c r="D102" s="268" t="s">
        <v>109</v>
      </c>
      <c r="E102" s="110"/>
    </row>
    <row r="103" spans="1:5" x14ac:dyDescent="0.35">
      <c r="A103" s="171" t="s">
        <v>198</v>
      </c>
      <c r="B103" s="269">
        <v>0</v>
      </c>
      <c r="C103" s="270">
        <v>0</v>
      </c>
      <c r="D103" s="268">
        <v>0</v>
      </c>
      <c r="E103" s="110"/>
    </row>
    <row r="104" spans="1:5" x14ac:dyDescent="0.35">
      <c r="A104" s="171" t="s">
        <v>199</v>
      </c>
      <c r="B104" s="269" t="s">
        <v>109</v>
      </c>
      <c r="C104" s="270" t="s">
        <v>109</v>
      </c>
      <c r="D104" s="268" t="s">
        <v>109</v>
      </c>
      <c r="E104" s="110"/>
    </row>
    <row r="105" spans="1:5" x14ac:dyDescent="0.35">
      <c r="A105" s="171" t="s">
        <v>352</v>
      </c>
      <c r="B105" s="269">
        <v>0</v>
      </c>
      <c r="C105" s="270">
        <v>0</v>
      </c>
      <c r="D105" s="268">
        <v>0</v>
      </c>
      <c r="E105" s="110"/>
    </row>
    <row r="106" spans="1:5" x14ac:dyDescent="0.35">
      <c r="A106" s="171" t="s">
        <v>200</v>
      </c>
      <c r="B106" s="269" t="s">
        <v>109</v>
      </c>
      <c r="C106" s="269" t="s">
        <v>109</v>
      </c>
      <c r="D106" s="269" t="s">
        <v>109</v>
      </c>
      <c r="E106" s="110"/>
    </row>
    <row r="107" spans="1:5" x14ac:dyDescent="0.35">
      <c r="A107" s="171" t="s">
        <v>201</v>
      </c>
      <c r="B107" s="269">
        <v>0</v>
      </c>
      <c r="C107" s="270">
        <v>0</v>
      </c>
      <c r="D107" s="268">
        <v>0</v>
      </c>
      <c r="E107" s="110"/>
    </row>
    <row r="108" spans="1:5" x14ac:dyDescent="0.35">
      <c r="A108" s="171" t="s">
        <v>202</v>
      </c>
      <c r="B108" s="269" t="s">
        <v>109</v>
      </c>
      <c r="C108" s="269" t="s">
        <v>109</v>
      </c>
      <c r="D108" s="268" t="s">
        <v>109</v>
      </c>
      <c r="E108" s="110"/>
    </row>
    <row r="109" spans="1:5" x14ac:dyDescent="0.35">
      <c r="A109" s="171" t="s">
        <v>203</v>
      </c>
      <c r="B109" s="269" t="s">
        <v>109</v>
      </c>
      <c r="C109" s="269" t="s">
        <v>109</v>
      </c>
      <c r="D109" s="268" t="s">
        <v>109</v>
      </c>
      <c r="E109" s="110"/>
    </row>
    <row r="110" spans="1:5" x14ac:dyDescent="0.35">
      <c r="A110" s="171" t="s">
        <v>353</v>
      </c>
      <c r="B110" s="269">
        <v>0</v>
      </c>
      <c r="C110" s="270">
        <v>0</v>
      </c>
      <c r="D110" s="268">
        <v>0</v>
      </c>
      <c r="E110" s="110"/>
    </row>
    <row r="111" spans="1:5" x14ac:dyDescent="0.35">
      <c r="A111" s="171" t="s">
        <v>204</v>
      </c>
      <c r="B111" s="269" t="s">
        <v>109</v>
      </c>
      <c r="C111" s="270" t="s">
        <v>109</v>
      </c>
      <c r="D111" s="268" t="s">
        <v>109</v>
      </c>
      <c r="E111" s="110"/>
    </row>
    <row r="112" spans="1:5" x14ac:dyDescent="0.35">
      <c r="A112" s="171" t="s">
        <v>205</v>
      </c>
      <c r="B112" s="165">
        <v>50</v>
      </c>
      <c r="C112" s="240">
        <v>14400</v>
      </c>
      <c r="D112" s="166">
        <v>0.04</v>
      </c>
      <c r="E112" s="110"/>
    </row>
    <row r="113" spans="1:5" x14ac:dyDescent="0.35">
      <c r="A113" s="171" t="s">
        <v>206</v>
      </c>
      <c r="B113" s="165">
        <v>90</v>
      </c>
      <c r="C113" s="240">
        <v>27423</v>
      </c>
      <c r="D113" s="166">
        <v>0.04</v>
      </c>
      <c r="E113" s="110"/>
    </row>
    <row r="114" spans="1:5" x14ac:dyDescent="0.35">
      <c r="A114" s="171" t="s">
        <v>207</v>
      </c>
      <c r="B114" s="165">
        <v>90</v>
      </c>
      <c r="C114" s="240">
        <v>27096</v>
      </c>
      <c r="D114" s="166">
        <v>0.04</v>
      </c>
      <c r="E114" s="110"/>
    </row>
    <row r="115" spans="1:5" x14ac:dyDescent="0.35">
      <c r="A115" s="171" t="s">
        <v>354</v>
      </c>
      <c r="B115" s="165">
        <v>55</v>
      </c>
      <c r="C115" s="240">
        <v>17688</v>
      </c>
      <c r="D115" s="166">
        <v>0.03</v>
      </c>
      <c r="E115" s="110"/>
    </row>
    <row r="116" spans="1:5" x14ac:dyDescent="0.35">
      <c r="A116" s="171" t="s">
        <v>208</v>
      </c>
      <c r="B116" s="165">
        <v>280</v>
      </c>
      <c r="C116" s="240">
        <v>86607</v>
      </c>
      <c r="D116" s="166">
        <v>0.04</v>
      </c>
      <c r="E116" s="110"/>
    </row>
    <row r="117" spans="1:5" x14ac:dyDescent="0.35">
      <c r="A117" s="171" t="s">
        <v>209</v>
      </c>
      <c r="B117" s="165">
        <v>90</v>
      </c>
      <c r="C117" s="240">
        <v>27000</v>
      </c>
      <c r="D117" s="166">
        <v>0.08</v>
      </c>
      <c r="E117" s="110"/>
    </row>
    <row r="118" spans="1:5" x14ac:dyDescent="0.35">
      <c r="A118" s="171" t="s">
        <v>210</v>
      </c>
      <c r="B118" s="165">
        <v>185</v>
      </c>
      <c r="C118" s="240">
        <v>55762</v>
      </c>
      <c r="D118" s="166">
        <v>0.08</v>
      </c>
      <c r="E118" s="110"/>
    </row>
    <row r="119" spans="1:5" x14ac:dyDescent="0.35">
      <c r="A119" s="171" t="s">
        <v>211</v>
      </c>
      <c r="B119" s="165">
        <v>195</v>
      </c>
      <c r="C119" s="240">
        <v>60019</v>
      </c>
      <c r="D119" s="166">
        <v>0.08</v>
      </c>
      <c r="E119" s="110"/>
    </row>
    <row r="120" spans="1:5" x14ac:dyDescent="0.35">
      <c r="A120" s="171" t="s">
        <v>355</v>
      </c>
      <c r="B120" s="165">
        <v>140</v>
      </c>
      <c r="C120" s="240">
        <v>44375</v>
      </c>
      <c r="D120" s="166">
        <v>0.08</v>
      </c>
      <c r="E120" s="110"/>
    </row>
    <row r="121" spans="1:5" x14ac:dyDescent="0.35">
      <c r="A121" s="171" t="s">
        <v>212</v>
      </c>
      <c r="B121" s="165">
        <v>605</v>
      </c>
      <c r="C121" s="240">
        <v>187156</v>
      </c>
      <c r="D121" s="166">
        <v>0.08</v>
      </c>
      <c r="E121" s="110"/>
    </row>
    <row r="122" spans="1:5" x14ac:dyDescent="0.35">
      <c r="A122" s="171" t="s">
        <v>213</v>
      </c>
      <c r="B122" s="165">
        <v>0</v>
      </c>
      <c r="C122" s="240">
        <v>0</v>
      </c>
      <c r="D122" s="166">
        <v>0</v>
      </c>
      <c r="E122" s="110"/>
    </row>
    <row r="123" spans="1:5" x14ac:dyDescent="0.35">
      <c r="A123" s="171" t="s">
        <v>214</v>
      </c>
      <c r="B123" s="165">
        <v>5</v>
      </c>
      <c r="C123" s="240">
        <v>1520</v>
      </c>
      <c r="D123" s="166">
        <v>0</v>
      </c>
      <c r="E123" s="110"/>
    </row>
    <row r="124" spans="1:5" x14ac:dyDescent="0.35">
      <c r="A124" s="171" t="s">
        <v>215</v>
      </c>
      <c r="B124" s="269" t="s">
        <v>109</v>
      </c>
      <c r="C124" s="270" t="s">
        <v>109</v>
      </c>
      <c r="D124" s="268" t="s">
        <v>109</v>
      </c>
      <c r="E124" s="110"/>
    </row>
    <row r="125" spans="1:5" x14ac:dyDescent="0.35">
      <c r="A125" s="171" t="s">
        <v>356</v>
      </c>
      <c r="B125" s="269" t="s">
        <v>109</v>
      </c>
      <c r="C125" s="269" t="s">
        <v>109</v>
      </c>
      <c r="D125" s="268" t="s">
        <v>109</v>
      </c>
      <c r="E125" s="110"/>
    </row>
    <row r="126" spans="1:5" x14ac:dyDescent="0.35">
      <c r="A126" s="171" t="s">
        <v>216</v>
      </c>
      <c r="B126" s="269">
        <v>10</v>
      </c>
      <c r="C126" s="270">
        <v>3388</v>
      </c>
      <c r="D126" s="268">
        <v>0</v>
      </c>
      <c r="E126" s="110"/>
    </row>
    <row r="127" spans="1:5" x14ac:dyDescent="0.35">
      <c r="A127" s="171" t="s">
        <v>217</v>
      </c>
      <c r="B127" s="269">
        <v>30</v>
      </c>
      <c r="C127" s="270">
        <v>9300</v>
      </c>
      <c r="D127" s="268">
        <v>0.03</v>
      </c>
      <c r="E127" s="110"/>
    </row>
    <row r="128" spans="1:5" x14ac:dyDescent="0.35">
      <c r="A128" s="171" t="s">
        <v>218</v>
      </c>
      <c r="B128" s="269">
        <v>75</v>
      </c>
      <c r="C128" s="270">
        <v>22552</v>
      </c>
      <c r="D128" s="268">
        <v>0.03</v>
      </c>
      <c r="E128" s="110"/>
    </row>
    <row r="129" spans="1:7" x14ac:dyDescent="0.35">
      <c r="A129" s="171" t="s">
        <v>219</v>
      </c>
      <c r="B129" s="269">
        <v>70</v>
      </c>
      <c r="C129" s="270">
        <v>21860</v>
      </c>
      <c r="D129" s="268">
        <v>0.03</v>
      </c>
      <c r="E129" s="110"/>
    </row>
    <row r="130" spans="1:7" x14ac:dyDescent="0.35">
      <c r="A130" s="171" t="s">
        <v>357</v>
      </c>
      <c r="B130" s="269">
        <v>45</v>
      </c>
      <c r="C130" s="270">
        <v>13935</v>
      </c>
      <c r="D130" s="268">
        <v>0.03</v>
      </c>
      <c r="E130" s="110"/>
    </row>
    <row r="131" spans="1:7" x14ac:dyDescent="0.35">
      <c r="A131" s="171" t="s">
        <v>220</v>
      </c>
      <c r="B131" s="269">
        <v>220</v>
      </c>
      <c r="C131" s="270">
        <v>67647</v>
      </c>
      <c r="D131" s="268">
        <v>0.03</v>
      </c>
      <c r="E131" s="110"/>
    </row>
    <row r="132" spans="1:7" x14ac:dyDescent="0.35">
      <c r="A132" s="171" t="s">
        <v>221</v>
      </c>
      <c r="B132" s="269">
        <v>55</v>
      </c>
      <c r="C132" s="270">
        <v>17100</v>
      </c>
      <c r="D132" s="268">
        <v>0.05</v>
      </c>
      <c r="E132" s="110"/>
    </row>
    <row r="133" spans="1:7" x14ac:dyDescent="0.35">
      <c r="A133" s="171" t="s">
        <v>222</v>
      </c>
      <c r="B133" s="269">
        <v>80</v>
      </c>
      <c r="C133" s="270">
        <v>24977</v>
      </c>
      <c r="D133" s="268">
        <v>0.04</v>
      </c>
      <c r="E133" s="110"/>
    </row>
    <row r="134" spans="1:7" x14ac:dyDescent="0.35">
      <c r="A134" s="171" t="s">
        <v>223</v>
      </c>
      <c r="B134" s="269">
        <v>90</v>
      </c>
      <c r="C134" s="270">
        <v>27093</v>
      </c>
      <c r="D134" s="268">
        <v>0.04</v>
      </c>
      <c r="E134" s="111"/>
      <c r="F134" s="104"/>
      <c r="G134" s="105"/>
    </row>
    <row r="135" spans="1:7" x14ac:dyDescent="0.35">
      <c r="A135" s="171" t="s">
        <v>358</v>
      </c>
      <c r="B135" s="269">
        <v>60</v>
      </c>
      <c r="C135" s="270">
        <v>19667</v>
      </c>
      <c r="D135" s="268">
        <v>0.04</v>
      </c>
      <c r="E135" s="111"/>
      <c r="F135" s="104"/>
      <c r="G135" s="105"/>
    </row>
    <row r="136" spans="1:7" x14ac:dyDescent="0.35">
      <c r="A136" s="171" t="s">
        <v>224</v>
      </c>
      <c r="B136" s="269">
        <v>290</v>
      </c>
      <c r="C136" s="270">
        <v>88837</v>
      </c>
      <c r="D136" s="268">
        <v>0.04</v>
      </c>
      <c r="E136" s="111"/>
      <c r="F136" s="104"/>
      <c r="G136" s="104"/>
    </row>
    <row r="137" spans="1:7" x14ac:dyDescent="0.35">
      <c r="A137" s="171" t="s">
        <v>225</v>
      </c>
      <c r="B137" s="269">
        <v>20</v>
      </c>
      <c r="C137" s="270">
        <v>5400</v>
      </c>
      <c r="D137" s="268">
        <v>0.02</v>
      </c>
      <c r="E137" s="111"/>
      <c r="F137" s="104"/>
      <c r="G137" s="104"/>
    </row>
    <row r="138" spans="1:7" x14ac:dyDescent="0.35">
      <c r="A138" s="171" t="s">
        <v>226</v>
      </c>
      <c r="B138" s="269">
        <v>25</v>
      </c>
      <c r="C138" s="270">
        <v>7933</v>
      </c>
      <c r="D138" s="268">
        <v>0.01</v>
      </c>
      <c r="E138" s="110"/>
    </row>
    <row r="139" spans="1:7" x14ac:dyDescent="0.35">
      <c r="A139" s="171" t="s">
        <v>227</v>
      </c>
      <c r="B139" s="269">
        <v>20</v>
      </c>
      <c r="C139" s="270">
        <v>6770</v>
      </c>
      <c r="D139" s="268">
        <v>0.01</v>
      </c>
      <c r="E139" s="110"/>
    </row>
    <row r="140" spans="1:7" x14ac:dyDescent="0.35">
      <c r="A140" s="171" t="s">
        <v>359</v>
      </c>
      <c r="B140" s="269">
        <v>15</v>
      </c>
      <c r="C140" s="270">
        <v>4209</v>
      </c>
      <c r="D140" s="268">
        <v>0.01</v>
      </c>
      <c r="E140" s="110"/>
    </row>
    <row r="141" spans="1:7" x14ac:dyDescent="0.35">
      <c r="A141" s="171" t="s">
        <v>228</v>
      </c>
      <c r="B141" s="269">
        <v>80</v>
      </c>
      <c r="C141" s="270">
        <v>24312</v>
      </c>
      <c r="D141" s="268">
        <v>0.01</v>
      </c>
      <c r="E141" s="110"/>
    </row>
    <row r="142" spans="1:7" x14ac:dyDescent="0.35">
      <c r="A142" s="171" t="s">
        <v>229</v>
      </c>
      <c r="B142" s="269" t="s">
        <v>109</v>
      </c>
      <c r="C142" s="270" t="s">
        <v>109</v>
      </c>
      <c r="D142" s="268" t="s">
        <v>109</v>
      </c>
      <c r="E142" s="110"/>
    </row>
    <row r="143" spans="1:7" x14ac:dyDescent="0.35">
      <c r="A143" s="171" t="s">
        <v>230</v>
      </c>
      <c r="B143" s="269">
        <v>10</v>
      </c>
      <c r="C143" s="270">
        <v>2746</v>
      </c>
      <c r="D143" s="268">
        <v>0</v>
      </c>
      <c r="E143" s="110"/>
    </row>
    <row r="144" spans="1:7" x14ac:dyDescent="0.35">
      <c r="A144" s="171" t="s">
        <v>231</v>
      </c>
      <c r="B144" s="269">
        <v>5</v>
      </c>
      <c r="C144" s="270">
        <v>1849</v>
      </c>
      <c r="D144" s="268">
        <v>0</v>
      </c>
      <c r="E144" s="110"/>
    </row>
    <row r="145" spans="1:5" x14ac:dyDescent="0.35">
      <c r="A145" s="171" t="s">
        <v>360</v>
      </c>
      <c r="B145" s="269" t="s">
        <v>109</v>
      </c>
      <c r="C145" s="270" t="s">
        <v>109</v>
      </c>
      <c r="D145" s="268" t="s">
        <v>109</v>
      </c>
      <c r="E145" s="110"/>
    </row>
    <row r="146" spans="1:5" x14ac:dyDescent="0.35">
      <c r="A146" s="173" t="s">
        <v>232</v>
      </c>
      <c r="B146" s="165">
        <v>20</v>
      </c>
      <c r="C146" s="240">
        <v>6764</v>
      </c>
      <c r="D146" s="166">
        <v>0</v>
      </c>
    </row>
    <row r="147" spans="1:5" x14ac:dyDescent="0.35">
      <c r="A147" s="173" t="s">
        <v>233</v>
      </c>
      <c r="B147" s="165">
        <v>20</v>
      </c>
      <c r="C147" s="240">
        <v>6300</v>
      </c>
      <c r="D147" s="166">
        <v>0.02</v>
      </c>
    </row>
    <row r="148" spans="1:5" x14ac:dyDescent="0.35">
      <c r="A148" s="173" t="s">
        <v>234</v>
      </c>
      <c r="B148" s="165">
        <v>45</v>
      </c>
      <c r="C148" s="240">
        <v>13699</v>
      </c>
      <c r="D148" s="166">
        <v>0.02</v>
      </c>
    </row>
    <row r="149" spans="1:5" x14ac:dyDescent="0.35">
      <c r="A149" s="173" t="s">
        <v>235</v>
      </c>
      <c r="B149" s="165">
        <v>45</v>
      </c>
      <c r="C149" s="240">
        <v>13543</v>
      </c>
      <c r="D149" s="166">
        <v>0.02</v>
      </c>
    </row>
    <row r="150" spans="1:5" x14ac:dyDescent="0.35">
      <c r="A150" s="173" t="s">
        <v>361</v>
      </c>
      <c r="B150" s="165">
        <v>35</v>
      </c>
      <c r="C150" s="240">
        <v>11827</v>
      </c>
      <c r="D150" s="166">
        <v>0.02</v>
      </c>
    </row>
    <row r="151" spans="1:5" x14ac:dyDescent="0.35">
      <c r="A151" s="173" t="s">
        <v>236</v>
      </c>
      <c r="B151" s="165">
        <v>145</v>
      </c>
      <c r="C151" s="240">
        <v>45369</v>
      </c>
      <c r="D151" s="166">
        <v>0.02</v>
      </c>
    </row>
    <row r="152" spans="1:5" x14ac:dyDescent="0.35">
      <c r="A152" s="173" t="s">
        <v>237</v>
      </c>
      <c r="B152" s="165">
        <v>65</v>
      </c>
      <c r="C152" s="240">
        <v>19800</v>
      </c>
      <c r="D152" s="166">
        <v>0.06</v>
      </c>
    </row>
    <row r="153" spans="1:5" x14ac:dyDescent="0.35">
      <c r="A153" s="173" t="s">
        <v>238</v>
      </c>
      <c r="B153" s="165">
        <v>120</v>
      </c>
      <c r="C153" s="240">
        <v>37156</v>
      </c>
      <c r="D153" s="166">
        <v>0.05</v>
      </c>
    </row>
    <row r="154" spans="1:5" x14ac:dyDescent="0.35">
      <c r="A154" s="173" t="s">
        <v>239</v>
      </c>
      <c r="B154" s="165">
        <v>125</v>
      </c>
      <c r="C154" s="240">
        <v>39092</v>
      </c>
      <c r="D154" s="166">
        <v>0.05</v>
      </c>
    </row>
    <row r="155" spans="1:5" x14ac:dyDescent="0.35">
      <c r="A155" s="173" t="s">
        <v>362</v>
      </c>
      <c r="B155" s="165">
        <v>90</v>
      </c>
      <c r="C155" s="240">
        <v>28412</v>
      </c>
      <c r="D155" s="166">
        <v>0.05</v>
      </c>
    </row>
    <row r="156" spans="1:5" x14ac:dyDescent="0.35">
      <c r="A156" s="173" t="s">
        <v>240</v>
      </c>
      <c r="B156" s="165">
        <v>405</v>
      </c>
      <c r="C156" s="240">
        <v>124460</v>
      </c>
      <c r="D156" s="166">
        <v>0.05</v>
      </c>
    </row>
    <row r="157" spans="1:5" x14ac:dyDescent="0.35">
      <c r="A157" s="173" t="s">
        <v>241</v>
      </c>
      <c r="B157" s="165">
        <v>15</v>
      </c>
      <c r="C157" s="240">
        <v>5100</v>
      </c>
      <c r="D157" s="166">
        <v>0.02</v>
      </c>
    </row>
    <row r="158" spans="1:5" x14ac:dyDescent="0.35">
      <c r="A158" s="173" t="s">
        <v>242</v>
      </c>
      <c r="B158" s="165">
        <v>40</v>
      </c>
      <c r="C158" s="240">
        <v>11884</v>
      </c>
      <c r="D158" s="166">
        <v>0.02</v>
      </c>
    </row>
    <row r="159" spans="1:5" x14ac:dyDescent="0.35">
      <c r="A159" s="173" t="s">
        <v>243</v>
      </c>
      <c r="B159" s="165">
        <v>40</v>
      </c>
      <c r="C159" s="240">
        <v>12320</v>
      </c>
      <c r="D159" s="166">
        <v>0.02</v>
      </c>
    </row>
    <row r="160" spans="1:5" x14ac:dyDescent="0.35">
      <c r="A160" s="173" t="s">
        <v>363</v>
      </c>
      <c r="B160" s="165">
        <v>20</v>
      </c>
      <c r="C160" s="240">
        <v>6441</v>
      </c>
      <c r="D160" s="166">
        <v>0.01</v>
      </c>
    </row>
    <row r="161" spans="1:7" x14ac:dyDescent="0.35">
      <c r="A161" s="173" t="s">
        <v>244</v>
      </c>
      <c r="B161" s="165">
        <v>115</v>
      </c>
      <c r="C161" s="240">
        <v>35744</v>
      </c>
      <c r="D161" s="166">
        <v>0.02</v>
      </c>
    </row>
    <row r="162" spans="1:7" x14ac:dyDescent="0.35">
      <c r="A162" s="173" t="s">
        <v>245</v>
      </c>
      <c r="B162" s="165">
        <v>1135</v>
      </c>
      <c r="C162" s="240">
        <v>339900</v>
      </c>
      <c r="D162" s="166">
        <v>1</v>
      </c>
    </row>
    <row r="163" spans="1:7" x14ac:dyDescent="0.35">
      <c r="A163" s="173" t="s">
        <v>246</v>
      </c>
      <c r="B163" s="165">
        <v>2280</v>
      </c>
      <c r="C163" s="240">
        <v>694725</v>
      </c>
      <c r="D163" s="166">
        <v>1</v>
      </c>
    </row>
    <row r="164" spans="1:7" x14ac:dyDescent="0.35">
      <c r="A164" s="173" t="s">
        <v>247</v>
      </c>
      <c r="B164" s="165">
        <v>2380</v>
      </c>
      <c r="C164" s="240">
        <v>732787</v>
      </c>
      <c r="D164" s="166">
        <v>1</v>
      </c>
    </row>
    <row r="165" spans="1:7" x14ac:dyDescent="0.35">
      <c r="A165" s="173" t="s">
        <v>329</v>
      </c>
      <c r="B165" s="165">
        <v>1625</v>
      </c>
      <c r="C165" s="240">
        <v>523521</v>
      </c>
      <c r="D165" s="166">
        <v>1</v>
      </c>
    </row>
    <row r="166" spans="1:7" x14ac:dyDescent="0.35">
      <c r="A166" s="173" t="s">
        <v>248</v>
      </c>
      <c r="B166" s="165">
        <v>7420</v>
      </c>
      <c r="C166" s="240">
        <v>2290934</v>
      </c>
      <c r="D166" s="166">
        <v>1</v>
      </c>
    </row>
    <row r="167" spans="1:7" x14ac:dyDescent="0.35">
      <c r="A167" s="171" t="s">
        <v>269</v>
      </c>
      <c r="B167" s="165">
        <v>0</v>
      </c>
      <c r="C167" s="165">
        <v>0</v>
      </c>
      <c r="D167" s="166">
        <v>0</v>
      </c>
      <c r="E167" s="111"/>
      <c r="F167" s="104"/>
      <c r="G167" s="105"/>
    </row>
    <row r="168" spans="1:7" x14ac:dyDescent="0.35">
      <c r="A168" s="171" t="s">
        <v>271</v>
      </c>
      <c r="B168" s="165" t="s">
        <v>109</v>
      </c>
      <c r="C168" s="165" t="s">
        <v>109</v>
      </c>
      <c r="D168" s="165" t="s">
        <v>109</v>
      </c>
      <c r="E168" s="111"/>
      <c r="F168" s="104"/>
      <c r="G168" s="105"/>
    </row>
    <row r="169" spans="1:7" x14ac:dyDescent="0.35">
      <c r="A169" s="171" t="s">
        <v>272</v>
      </c>
      <c r="B169" s="165" t="s">
        <v>109</v>
      </c>
      <c r="C169" s="165" t="s">
        <v>109</v>
      </c>
      <c r="D169" s="165" t="s">
        <v>109</v>
      </c>
      <c r="E169" s="111"/>
      <c r="F169" s="104"/>
      <c r="G169" s="104"/>
    </row>
    <row r="170" spans="1:7" x14ac:dyDescent="0.35">
      <c r="A170" s="171" t="s">
        <v>366</v>
      </c>
      <c r="B170" s="269" t="s">
        <v>109</v>
      </c>
      <c r="C170" s="269" t="s">
        <v>109</v>
      </c>
      <c r="D170" s="269" t="s">
        <v>109</v>
      </c>
      <c r="E170" s="111"/>
      <c r="F170" s="104"/>
      <c r="G170" s="104"/>
    </row>
    <row r="171" spans="1:7" x14ac:dyDescent="0.35">
      <c r="A171" s="171" t="s">
        <v>270</v>
      </c>
      <c r="B171" s="269" t="s">
        <v>109</v>
      </c>
      <c r="C171" s="270" t="s">
        <v>109</v>
      </c>
      <c r="D171" s="268" t="s">
        <v>109</v>
      </c>
      <c r="E171" s="111"/>
      <c r="F171" s="104"/>
      <c r="G171" s="104"/>
    </row>
    <row r="172" spans="1:7" x14ac:dyDescent="0.35">
      <c r="A172" s="173" t="s">
        <v>249</v>
      </c>
      <c r="B172" s="165">
        <v>15</v>
      </c>
      <c r="C172" s="240">
        <v>4500</v>
      </c>
      <c r="D172" s="166">
        <v>0.01</v>
      </c>
    </row>
    <row r="173" spans="1:7" x14ac:dyDescent="0.35">
      <c r="A173" s="173" t="s">
        <v>250</v>
      </c>
      <c r="B173" s="165">
        <v>40</v>
      </c>
      <c r="C173" s="240">
        <v>11873</v>
      </c>
      <c r="D173" s="166">
        <v>0.02</v>
      </c>
    </row>
    <row r="174" spans="1:7" x14ac:dyDescent="0.35">
      <c r="A174" s="173" t="s">
        <v>251</v>
      </c>
      <c r="B174" s="165">
        <v>50</v>
      </c>
      <c r="C174" s="240">
        <v>15703</v>
      </c>
      <c r="D174" s="166">
        <v>0.02</v>
      </c>
    </row>
    <row r="175" spans="1:7" x14ac:dyDescent="0.35">
      <c r="A175" s="173" t="s">
        <v>364</v>
      </c>
      <c r="B175" s="165">
        <v>30</v>
      </c>
      <c r="C175" s="240">
        <v>9707</v>
      </c>
      <c r="D175" s="166">
        <v>0.02</v>
      </c>
    </row>
    <row r="176" spans="1:7" x14ac:dyDescent="0.35">
      <c r="A176" s="173" t="s">
        <v>252</v>
      </c>
      <c r="B176" s="165">
        <v>135</v>
      </c>
      <c r="C176" s="240">
        <v>41784</v>
      </c>
      <c r="D176" s="166">
        <v>0.02</v>
      </c>
    </row>
    <row r="177" spans="1:4" x14ac:dyDescent="0.35">
      <c r="A177" s="173" t="s">
        <v>253</v>
      </c>
      <c r="B177" s="165">
        <v>50</v>
      </c>
      <c r="C177" s="240">
        <v>15600</v>
      </c>
      <c r="D177" s="166">
        <v>0.05</v>
      </c>
    </row>
    <row r="178" spans="1:4" x14ac:dyDescent="0.35">
      <c r="A178" s="173" t="s">
        <v>254</v>
      </c>
      <c r="B178" s="165">
        <v>95</v>
      </c>
      <c r="C178" s="240">
        <v>28349</v>
      </c>
      <c r="D178" s="166">
        <v>0.04</v>
      </c>
    </row>
    <row r="179" spans="1:4" x14ac:dyDescent="0.35">
      <c r="A179" s="173" t="s">
        <v>255</v>
      </c>
      <c r="B179" s="165">
        <v>90</v>
      </c>
      <c r="C179" s="240">
        <v>27407</v>
      </c>
      <c r="D179" s="166">
        <v>0.04</v>
      </c>
    </row>
    <row r="180" spans="1:4" x14ac:dyDescent="0.35">
      <c r="A180" s="173" t="s">
        <v>365</v>
      </c>
      <c r="B180" s="165">
        <v>65</v>
      </c>
      <c r="C180" s="240">
        <v>20301</v>
      </c>
      <c r="D180" s="166">
        <v>0.04</v>
      </c>
    </row>
    <row r="181" spans="1:4" x14ac:dyDescent="0.35">
      <c r="A181" s="173" t="s">
        <v>256</v>
      </c>
      <c r="B181" s="165">
        <v>295</v>
      </c>
      <c r="C181" s="240">
        <v>91657</v>
      </c>
      <c r="D181" s="166">
        <v>0.04</v>
      </c>
    </row>
    <row r="182" spans="1:4" x14ac:dyDescent="0.35">
      <c r="D182" s="160"/>
    </row>
    <row r="183" spans="1:4" x14ac:dyDescent="0.35">
      <c r="D183" s="160"/>
    </row>
    <row r="184" spans="1:4" x14ac:dyDescent="0.35">
      <c r="D184" s="160"/>
    </row>
    <row r="185" spans="1:4" x14ac:dyDescent="0.35">
      <c r="D185" s="160"/>
    </row>
    <row r="186" spans="1:4" x14ac:dyDescent="0.35">
      <c r="D186" s="160"/>
    </row>
    <row r="187" spans="1:4" x14ac:dyDescent="0.35">
      <c r="D187" s="160"/>
    </row>
    <row r="188" spans="1:4" x14ac:dyDescent="0.35">
      <c r="D188" s="160"/>
    </row>
    <row r="189" spans="1:4" x14ac:dyDescent="0.35">
      <c r="D189" s="160"/>
    </row>
    <row r="190" spans="1:4" x14ac:dyDescent="0.35">
      <c r="D190" s="160"/>
    </row>
    <row r="191" spans="1:4" x14ac:dyDescent="0.35">
      <c r="D191" s="160"/>
    </row>
    <row r="192" spans="1:4" x14ac:dyDescent="0.35">
      <c r="D192" s="160"/>
    </row>
    <row r="193" spans="4:4" x14ac:dyDescent="0.35">
      <c r="D193" s="160"/>
    </row>
    <row r="194" spans="4:4" x14ac:dyDescent="0.35">
      <c r="D194" s="160"/>
    </row>
    <row r="195" spans="4:4" x14ac:dyDescent="0.35">
      <c r="D195" s="160"/>
    </row>
    <row r="196" spans="4:4" x14ac:dyDescent="0.35">
      <c r="D196" s="160"/>
    </row>
    <row r="197" spans="4:4" x14ac:dyDescent="0.35">
      <c r="D197" s="160"/>
    </row>
    <row r="198" spans="4:4" x14ac:dyDescent="0.35">
      <c r="D198" s="160"/>
    </row>
    <row r="199" spans="4:4" x14ac:dyDescent="0.35">
      <c r="D199" s="160"/>
    </row>
    <row r="200" spans="4:4" x14ac:dyDescent="0.35">
      <c r="D200" s="160"/>
    </row>
    <row r="201" spans="4:4" x14ac:dyDescent="0.35">
      <c r="D201" s="160"/>
    </row>
    <row r="202" spans="4:4" x14ac:dyDescent="0.35">
      <c r="D202" s="160"/>
    </row>
    <row r="203" spans="4:4" x14ac:dyDescent="0.35">
      <c r="D203" s="160"/>
    </row>
    <row r="204" spans="4:4" x14ac:dyDescent="0.35">
      <c r="D204" s="160"/>
    </row>
    <row r="205" spans="4:4" x14ac:dyDescent="0.35">
      <c r="D205" s="160"/>
    </row>
    <row r="206" spans="4:4" x14ac:dyDescent="0.35">
      <c r="D206" s="160"/>
    </row>
    <row r="207" spans="4:4" x14ac:dyDescent="0.35">
      <c r="D207" s="160"/>
    </row>
    <row r="208" spans="4:4" x14ac:dyDescent="0.35">
      <c r="D208" s="160"/>
    </row>
    <row r="209" spans="4:4" x14ac:dyDescent="0.35">
      <c r="D209" s="160"/>
    </row>
    <row r="210" spans="4:4" x14ac:dyDescent="0.35">
      <c r="D210" s="160"/>
    </row>
    <row r="211" spans="4:4" x14ac:dyDescent="0.35">
      <c r="D211" s="160"/>
    </row>
    <row r="212" spans="4:4" x14ac:dyDescent="0.35">
      <c r="D212" s="160"/>
    </row>
    <row r="213" spans="4:4" x14ac:dyDescent="0.35">
      <c r="D213" s="160"/>
    </row>
    <row r="214" spans="4:4" x14ac:dyDescent="0.35">
      <c r="D214" s="160"/>
    </row>
    <row r="215" spans="4:4" x14ac:dyDescent="0.35">
      <c r="D215" s="160"/>
    </row>
    <row r="216" spans="4:4" x14ac:dyDescent="0.35">
      <c r="D216" s="160"/>
    </row>
    <row r="217" spans="4:4" x14ac:dyDescent="0.35">
      <c r="D217" s="160"/>
    </row>
    <row r="218" spans="4:4" x14ac:dyDescent="0.35">
      <c r="D218" s="160"/>
    </row>
    <row r="219" spans="4:4" x14ac:dyDescent="0.35">
      <c r="D219" s="160"/>
    </row>
    <row r="220" spans="4:4" x14ac:dyDescent="0.35">
      <c r="D220" s="160"/>
    </row>
    <row r="221" spans="4:4" x14ac:dyDescent="0.35">
      <c r="D221" s="160"/>
    </row>
    <row r="222" spans="4:4" x14ac:dyDescent="0.35">
      <c r="D222" s="160"/>
    </row>
    <row r="223" spans="4:4" x14ac:dyDescent="0.35">
      <c r="D223" s="160"/>
    </row>
    <row r="224" spans="4:4" x14ac:dyDescent="0.35">
      <c r="D224" s="160"/>
    </row>
    <row r="225" spans="4:4" x14ac:dyDescent="0.35">
      <c r="D225" s="160"/>
    </row>
    <row r="226" spans="4:4" x14ac:dyDescent="0.35">
      <c r="D226" s="160"/>
    </row>
    <row r="227" spans="4:4" x14ac:dyDescent="0.35">
      <c r="D227" s="160"/>
    </row>
    <row r="228" spans="4:4" x14ac:dyDescent="0.35">
      <c r="D228" s="160"/>
    </row>
    <row r="229" spans="4:4" x14ac:dyDescent="0.35">
      <c r="D229" s="160"/>
    </row>
    <row r="230" spans="4:4" x14ac:dyDescent="0.35">
      <c r="D230" s="160"/>
    </row>
    <row r="231" spans="4:4" x14ac:dyDescent="0.35">
      <c r="D231" s="160"/>
    </row>
    <row r="232" spans="4:4" x14ac:dyDescent="0.35">
      <c r="D232" s="160"/>
    </row>
    <row r="233" spans="4:4" x14ac:dyDescent="0.35">
      <c r="D233" s="160"/>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heetViews>
  <sheetFormatPr defaultColWidth="8.7265625" defaultRowHeight="14.5" x14ac:dyDescent="0.35"/>
  <cols>
    <col min="1" max="1" width="26.453125" style="2" customWidth="1"/>
    <col min="2" max="2" width="12.81640625" style="2" customWidth="1"/>
    <col min="3" max="3" width="14.54296875" style="2" customWidth="1"/>
    <col min="4" max="4" width="16.54296875" style="2" customWidth="1"/>
    <col min="5" max="5" width="13.54296875" style="2" customWidth="1"/>
    <col min="6" max="6" width="14.54296875" style="2" customWidth="1"/>
    <col min="7" max="7" width="16.1796875" style="2" customWidth="1"/>
    <col min="8" max="8" width="19" style="2" customWidth="1"/>
    <col min="9" max="9" width="15.7265625" style="2" customWidth="1"/>
    <col min="10" max="10" width="16.1796875" style="2" customWidth="1"/>
    <col min="11" max="11" width="8.7265625" style="2"/>
    <col min="12" max="12" width="10.26953125" style="2" customWidth="1"/>
    <col min="13" max="16384" width="8.7265625" style="2"/>
  </cols>
  <sheetData>
    <row r="1" spans="1:10" ht="21" x14ac:dyDescent="0.5">
      <c r="A1" s="124" t="s">
        <v>16</v>
      </c>
    </row>
    <row r="2" spans="1:10" ht="15.5" x14ac:dyDescent="0.35">
      <c r="A2" s="115" t="s">
        <v>38</v>
      </c>
    </row>
    <row r="3" spans="1:10" ht="15.5" x14ac:dyDescent="0.35">
      <c r="A3" s="132" t="s">
        <v>300</v>
      </c>
    </row>
    <row r="4" spans="1:10" ht="15.5" x14ac:dyDescent="0.35">
      <c r="A4" s="132" t="s">
        <v>301</v>
      </c>
    </row>
    <row r="5" spans="1:10" ht="15.5" x14ac:dyDescent="0.35">
      <c r="A5" s="116" t="s">
        <v>414</v>
      </c>
    </row>
    <row r="6" spans="1:10" ht="62" x14ac:dyDescent="0.35">
      <c r="A6" s="49" t="s">
        <v>396</v>
      </c>
      <c r="B6" s="77" t="s">
        <v>60</v>
      </c>
      <c r="C6" s="77" t="s">
        <v>61</v>
      </c>
      <c r="D6" s="50" t="s">
        <v>397</v>
      </c>
      <c r="E6" s="49" t="s">
        <v>62</v>
      </c>
      <c r="F6" s="50" t="s">
        <v>63</v>
      </c>
      <c r="G6" s="193" t="s">
        <v>64</v>
      </c>
      <c r="H6" s="50" t="s">
        <v>65</v>
      </c>
      <c r="I6" s="49" t="s">
        <v>66</v>
      </c>
      <c r="J6" s="50" t="s">
        <v>67</v>
      </c>
    </row>
    <row r="7" spans="1:10" ht="15.5" x14ac:dyDescent="0.35">
      <c r="A7" s="188" t="s">
        <v>6</v>
      </c>
      <c r="B7" s="273">
        <v>11490</v>
      </c>
      <c r="C7" s="192">
        <v>1</v>
      </c>
      <c r="D7" s="273">
        <v>10930</v>
      </c>
      <c r="E7" s="273">
        <v>7595</v>
      </c>
      <c r="F7" s="273">
        <v>3100</v>
      </c>
      <c r="G7" s="273">
        <v>235</v>
      </c>
      <c r="H7" s="200">
        <v>0.69</v>
      </c>
      <c r="I7" s="200">
        <v>0.28000000000000003</v>
      </c>
      <c r="J7" s="201">
        <v>0.02</v>
      </c>
    </row>
    <row r="8" spans="1:10" ht="15.5" x14ac:dyDescent="0.35">
      <c r="A8" s="117" t="s">
        <v>39</v>
      </c>
      <c r="B8" s="271">
        <v>370</v>
      </c>
      <c r="C8" s="191">
        <v>0.03</v>
      </c>
      <c r="D8" s="189">
        <v>25</v>
      </c>
      <c r="E8" s="194">
        <v>20</v>
      </c>
      <c r="F8" s="194">
        <v>5</v>
      </c>
      <c r="G8" s="108" t="s">
        <v>109</v>
      </c>
      <c r="H8" s="195">
        <v>0.67</v>
      </c>
      <c r="I8" s="195" t="s">
        <v>109</v>
      </c>
      <c r="J8" s="108" t="s">
        <v>109</v>
      </c>
    </row>
    <row r="9" spans="1:10" ht="15.5" x14ac:dyDescent="0.35">
      <c r="A9" s="117" t="s">
        <v>40</v>
      </c>
      <c r="B9" s="271">
        <v>385</v>
      </c>
      <c r="C9" s="191">
        <v>0.03</v>
      </c>
      <c r="D9" s="190">
        <v>345</v>
      </c>
      <c r="E9" s="194">
        <v>320</v>
      </c>
      <c r="F9" s="194">
        <v>20</v>
      </c>
      <c r="G9" s="194">
        <v>5</v>
      </c>
      <c r="H9" s="195">
        <v>0.92</v>
      </c>
      <c r="I9" s="195">
        <v>0.06</v>
      </c>
      <c r="J9" s="196">
        <v>0.02</v>
      </c>
    </row>
    <row r="10" spans="1:10" ht="15.5" x14ac:dyDescent="0.35">
      <c r="A10" s="117" t="s">
        <v>41</v>
      </c>
      <c r="B10" s="271">
        <v>355</v>
      </c>
      <c r="C10" s="191">
        <v>0.03</v>
      </c>
      <c r="D10" s="190">
        <v>310</v>
      </c>
      <c r="E10" s="194">
        <v>265</v>
      </c>
      <c r="F10" s="194">
        <v>30</v>
      </c>
      <c r="G10" s="194">
        <v>10</v>
      </c>
      <c r="H10" s="195">
        <v>0.86</v>
      </c>
      <c r="I10" s="195">
        <v>0.1</v>
      </c>
      <c r="J10" s="196">
        <v>0.04</v>
      </c>
    </row>
    <row r="11" spans="1:10" ht="15.5" x14ac:dyDescent="0.35">
      <c r="A11" s="89" t="s">
        <v>42</v>
      </c>
      <c r="B11" s="271">
        <v>270</v>
      </c>
      <c r="C11" s="191">
        <v>0.02</v>
      </c>
      <c r="D11" s="190">
        <v>290</v>
      </c>
      <c r="E11" s="194">
        <v>240</v>
      </c>
      <c r="F11" s="194">
        <v>35</v>
      </c>
      <c r="G11" s="194">
        <v>15</v>
      </c>
      <c r="H11" s="195">
        <v>0.83</v>
      </c>
      <c r="I11" s="195">
        <v>0.13</v>
      </c>
      <c r="J11" s="196">
        <v>0.04</v>
      </c>
    </row>
    <row r="12" spans="1:10" ht="15.5" x14ac:dyDescent="0.35">
      <c r="A12" s="89" t="s">
        <v>43</v>
      </c>
      <c r="B12" s="271">
        <v>225</v>
      </c>
      <c r="C12" s="191">
        <v>0.02</v>
      </c>
      <c r="D12" s="190">
        <v>230</v>
      </c>
      <c r="E12" s="194">
        <v>195</v>
      </c>
      <c r="F12" s="194">
        <v>30</v>
      </c>
      <c r="G12" s="194">
        <v>5</v>
      </c>
      <c r="H12" s="195">
        <v>0.85</v>
      </c>
      <c r="I12" s="195">
        <v>0.13</v>
      </c>
      <c r="J12" s="196">
        <v>0.02</v>
      </c>
    </row>
    <row r="13" spans="1:10" ht="15.5" x14ac:dyDescent="0.35">
      <c r="A13" s="89" t="s">
        <v>44</v>
      </c>
      <c r="B13" s="271">
        <v>150</v>
      </c>
      <c r="C13" s="191">
        <v>0.01</v>
      </c>
      <c r="D13" s="190">
        <v>205</v>
      </c>
      <c r="E13" s="194">
        <v>150</v>
      </c>
      <c r="F13" s="194">
        <v>50</v>
      </c>
      <c r="G13" s="194">
        <v>10</v>
      </c>
      <c r="H13" s="195">
        <v>0.72</v>
      </c>
      <c r="I13" s="195">
        <v>0.24</v>
      </c>
      <c r="J13" s="196">
        <v>0.04</v>
      </c>
    </row>
    <row r="14" spans="1:10" ht="15.5" x14ac:dyDescent="0.35">
      <c r="A14" s="89" t="s">
        <v>45</v>
      </c>
      <c r="B14" s="271">
        <v>170</v>
      </c>
      <c r="C14" s="191">
        <v>0.01</v>
      </c>
      <c r="D14" s="190">
        <v>150</v>
      </c>
      <c r="E14" s="194">
        <v>105</v>
      </c>
      <c r="F14" s="194">
        <v>40</v>
      </c>
      <c r="G14" s="194">
        <v>5</v>
      </c>
      <c r="H14" s="195">
        <v>0.72</v>
      </c>
      <c r="I14" s="195">
        <v>0.26</v>
      </c>
      <c r="J14" s="196">
        <v>0.02</v>
      </c>
    </row>
    <row r="15" spans="1:10" ht="15.5" x14ac:dyDescent="0.35">
      <c r="A15" s="89" t="s">
        <v>46</v>
      </c>
      <c r="B15" s="271">
        <v>165</v>
      </c>
      <c r="C15" s="191">
        <v>0.01</v>
      </c>
      <c r="D15" s="190">
        <v>240</v>
      </c>
      <c r="E15" s="194">
        <v>125</v>
      </c>
      <c r="F15" s="194">
        <v>115</v>
      </c>
      <c r="G15" s="194">
        <v>5</v>
      </c>
      <c r="H15" s="195">
        <v>0.51</v>
      </c>
      <c r="I15" s="195">
        <v>0.47</v>
      </c>
      <c r="J15" s="196">
        <v>0.02</v>
      </c>
    </row>
    <row r="16" spans="1:10" ht="15.5" x14ac:dyDescent="0.35">
      <c r="A16" s="89" t="s">
        <v>47</v>
      </c>
      <c r="B16" s="271">
        <v>225</v>
      </c>
      <c r="C16" s="191">
        <v>0.02</v>
      </c>
      <c r="D16" s="190">
        <v>310</v>
      </c>
      <c r="E16" s="194">
        <v>145</v>
      </c>
      <c r="F16" s="194">
        <v>155</v>
      </c>
      <c r="G16" s="194">
        <v>10</v>
      </c>
      <c r="H16" s="195">
        <v>0.47</v>
      </c>
      <c r="I16" s="195">
        <v>0.5</v>
      </c>
      <c r="J16" s="196">
        <v>0.03</v>
      </c>
    </row>
    <row r="17" spans="1:10" ht="15.5" x14ac:dyDescent="0.35">
      <c r="A17" s="89" t="s">
        <v>48</v>
      </c>
      <c r="B17" s="271">
        <v>135</v>
      </c>
      <c r="C17" s="191">
        <v>0.01</v>
      </c>
      <c r="D17" s="190">
        <v>190</v>
      </c>
      <c r="E17" s="194">
        <v>145</v>
      </c>
      <c r="F17" s="194">
        <v>45</v>
      </c>
      <c r="G17" s="108" t="s">
        <v>109</v>
      </c>
      <c r="H17" s="195">
        <v>0.76</v>
      </c>
      <c r="I17" s="108" t="s">
        <v>109</v>
      </c>
      <c r="J17" s="108" t="s">
        <v>109</v>
      </c>
    </row>
    <row r="18" spans="1:10" ht="15.5" x14ac:dyDescent="0.35">
      <c r="A18" s="89" t="s">
        <v>49</v>
      </c>
      <c r="B18" s="271">
        <v>180</v>
      </c>
      <c r="C18" s="191">
        <v>0.02</v>
      </c>
      <c r="D18" s="190">
        <v>120</v>
      </c>
      <c r="E18" s="194">
        <v>100</v>
      </c>
      <c r="F18" s="194">
        <v>20</v>
      </c>
      <c r="G18" s="108" t="s">
        <v>109</v>
      </c>
      <c r="H18" s="195">
        <v>0.83</v>
      </c>
      <c r="I18" s="108" t="s">
        <v>109</v>
      </c>
      <c r="J18" s="108" t="s">
        <v>109</v>
      </c>
    </row>
    <row r="19" spans="1:10" ht="15.5" x14ac:dyDescent="0.35">
      <c r="A19" s="89" t="s">
        <v>50</v>
      </c>
      <c r="B19" s="271">
        <v>205</v>
      </c>
      <c r="C19" s="191">
        <v>0.02</v>
      </c>
      <c r="D19" s="190">
        <v>230</v>
      </c>
      <c r="E19" s="194">
        <v>130</v>
      </c>
      <c r="F19" s="194">
        <v>100</v>
      </c>
      <c r="G19" s="108" t="s">
        <v>109</v>
      </c>
      <c r="H19" s="195">
        <v>0.56000000000000005</v>
      </c>
      <c r="I19" s="108" t="s">
        <v>109</v>
      </c>
      <c r="J19" s="108" t="s">
        <v>109</v>
      </c>
    </row>
    <row r="20" spans="1:10" ht="15.5" x14ac:dyDescent="0.35">
      <c r="A20" s="89" t="s">
        <v>51</v>
      </c>
      <c r="B20" s="271">
        <v>295</v>
      </c>
      <c r="C20" s="191">
        <v>0.03</v>
      </c>
      <c r="D20" s="190">
        <v>225</v>
      </c>
      <c r="E20" s="194">
        <v>105</v>
      </c>
      <c r="F20" s="194">
        <v>115</v>
      </c>
      <c r="G20" s="108" t="s">
        <v>109</v>
      </c>
      <c r="H20" s="195">
        <v>0.48</v>
      </c>
      <c r="I20" s="108" t="s">
        <v>109</v>
      </c>
      <c r="J20" s="108" t="s">
        <v>109</v>
      </c>
    </row>
    <row r="21" spans="1:10" ht="15.5" x14ac:dyDescent="0.35">
      <c r="A21" s="89" t="s">
        <v>52</v>
      </c>
      <c r="B21" s="271">
        <v>575</v>
      </c>
      <c r="C21" s="191">
        <v>0.05</v>
      </c>
      <c r="D21" s="190">
        <v>340</v>
      </c>
      <c r="E21" s="194">
        <v>210</v>
      </c>
      <c r="F21" s="194">
        <v>105</v>
      </c>
      <c r="G21" s="194">
        <v>30</v>
      </c>
      <c r="H21" s="195">
        <v>0.61</v>
      </c>
      <c r="I21" s="195">
        <v>0.31</v>
      </c>
      <c r="J21" s="196">
        <v>0.08</v>
      </c>
    </row>
    <row r="22" spans="1:10" ht="15.5" x14ac:dyDescent="0.35">
      <c r="A22" s="89" t="s">
        <v>53</v>
      </c>
      <c r="B22" s="271">
        <v>380</v>
      </c>
      <c r="C22" s="191">
        <v>0.03</v>
      </c>
      <c r="D22" s="190">
        <v>460</v>
      </c>
      <c r="E22" s="194">
        <v>335</v>
      </c>
      <c r="F22" s="194">
        <v>120</v>
      </c>
      <c r="G22" s="194">
        <v>5</v>
      </c>
      <c r="H22" s="195">
        <v>0.73</v>
      </c>
      <c r="I22" s="195">
        <v>0.26</v>
      </c>
      <c r="J22" s="196">
        <v>0.01</v>
      </c>
    </row>
    <row r="23" spans="1:10" ht="15.5" x14ac:dyDescent="0.35">
      <c r="A23" s="89" t="s">
        <v>54</v>
      </c>
      <c r="B23" s="271">
        <v>385</v>
      </c>
      <c r="C23" s="191">
        <v>0.03</v>
      </c>
      <c r="D23" s="190">
        <v>450</v>
      </c>
      <c r="E23" s="194">
        <v>325</v>
      </c>
      <c r="F23" s="194">
        <v>120</v>
      </c>
      <c r="G23" s="194">
        <v>5</v>
      </c>
      <c r="H23" s="195">
        <v>0.73</v>
      </c>
      <c r="I23" s="195">
        <v>0.27</v>
      </c>
      <c r="J23" s="196">
        <v>0.01</v>
      </c>
    </row>
    <row r="24" spans="1:10" ht="15.5" x14ac:dyDescent="0.35">
      <c r="A24" s="89" t="s">
        <v>55</v>
      </c>
      <c r="B24" s="271">
        <v>335</v>
      </c>
      <c r="C24" s="191">
        <v>0.03</v>
      </c>
      <c r="D24" s="190">
        <v>370</v>
      </c>
      <c r="E24" s="194">
        <v>270</v>
      </c>
      <c r="F24" s="194">
        <v>95</v>
      </c>
      <c r="G24" s="194">
        <v>5</v>
      </c>
      <c r="H24" s="195">
        <v>0.73</v>
      </c>
      <c r="I24" s="195">
        <v>0.26</v>
      </c>
      <c r="J24" s="196">
        <v>0.01</v>
      </c>
    </row>
    <row r="25" spans="1:10" ht="15.5" x14ac:dyDescent="0.35">
      <c r="A25" s="89" t="s">
        <v>56</v>
      </c>
      <c r="B25" s="271">
        <v>330</v>
      </c>
      <c r="C25" s="191">
        <v>0.03</v>
      </c>
      <c r="D25" s="190">
        <v>390</v>
      </c>
      <c r="E25" s="194">
        <v>295</v>
      </c>
      <c r="F25" s="194">
        <v>90</v>
      </c>
      <c r="G25" s="194">
        <v>5</v>
      </c>
      <c r="H25" s="195">
        <v>0.75</v>
      </c>
      <c r="I25" s="195">
        <v>0.23</v>
      </c>
      <c r="J25" s="196">
        <v>0.02</v>
      </c>
    </row>
    <row r="26" spans="1:10" ht="15.5" x14ac:dyDescent="0.35">
      <c r="A26" s="89" t="s">
        <v>57</v>
      </c>
      <c r="B26" s="271">
        <v>270</v>
      </c>
      <c r="C26" s="191">
        <v>0.02</v>
      </c>
      <c r="D26" s="190">
        <v>275</v>
      </c>
      <c r="E26" s="194">
        <v>205</v>
      </c>
      <c r="F26" s="194">
        <v>70</v>
      </c>
      <c r="G26" s="108" t="s">
        <v>109</v>
      </c>
      <c r="H26" s="195">
        <v>0.74</v>
      </c>
      <c r="I26" s="195" t="s">
        <v>109</v>
      </c>
      <c r="J26" s="196" t="s">
        <v>109</v>
      </c>
    </row>
    <row r="27" spans="1:10" ht="15.5" x14ac:dyDescent="0.35">
      <c r="A27" s="89" t="s">
        <v>58</v>
      </c>
      <c r="B27" s="271">
        <v>270</v>
      </c>
      <c r="C27" s="191">
        <v>0.02</v>
      </c>
      <c r="D27" s="190">
        <v>215</v>
      </c>
      <c r="E27" s="194">
        <v>140</v>
      </c>
      <c r="F27" s="194">
        <v>70</v>
      </c>
      <c r="G27" s="108" t="s">
        <v>109</v>
      </c>
      <c r="H27" s="195">
        <v>0.67</v>
      </c>
      <c r="I27" s="195" t="s">
        <v>109</v>
      </c>
      <c r="J27" s="196" t="s">
        <v>109</v>
      </c>
    </row>
    <row r="28" spans="1:10" ht="15.5" x14ac:dyDescent="0.35">
      <c r="A28" s="89" t="s">
        <v>59</v>
      </c>
      <c r="B28" s="271">
        <v>265</v>
      </c>
      <c r="C28" s="191">
        <v>0.02</v>
      </c>
      <c r="D28" s="190">
        <v>265</v>
      </c>
      <c r="E28" s="194">
        <v>170</v>
      </c>
      <c r="F28" s="194">
        <v>95</v>
      </c>
      <c r="G28" s="194">
        <v>0</v>
      </c>
      <c r="H28" s="195">
        <v>0.64</v>
      </c>
      <c r="I28" s="195">
        <v>0.36</v>
      </c>
      <c r="J28" s="196">
        <v>0</v>
      </c>
    </row>
    <row r="29" spans="1:10" ht="15.5" x14ac:dyDescent="0.35">
      <c r="A29" s="89" t="s">
        <v>73</v>
      </c>
      <c r="B29" s="271">
        <v>285</v>
      </c>
      <c r="C29" s="191">
        <v>0.02</v>
      </c>
      <c r="D29" s="190">
        <v>260</v>
      </c>
      <c r="E29" s="194">
        <v>195</v>
      </c>
      <c r="F29" s="194">
        <v>60</v>
      </c>
      <c r="G29" s="194">
        <v>5</v>
      </c>
      <c r="H29" s="195">
        <v>0.76</v>
      </c>
      <c r="I29" s="195">
        <v>0.22</v>
      </c>
      <c r="J29" s="196">
        <v>0.01</v>
      </c>
    </row>
    <row r="30" spans="1:10" ht="15.5" x14ac:dyDescent="0.35">
      <c r="A30" s="89" t="s">
        <v>302</v>
      </c>
      <c r="B30" s="271">
        <v>295</v>
      </c>
      <c r="C30" s="191">
        <v>0.03</v>
      </c>
      <c r="D30" s="190">
        <v>345</v>
      </c>
      <c r="E30" s="194">
        <v>245</v>
      </c>
      <c r="F30" s="194">
        <v>95</v>
      </c>
      <c r="G30" s="194">
        <v>5</v>
      </c>
      <c r="H30" s="195">
        <v>0.71</v>
      </c>
      <c r="I30" s="195">
        <v>0.27</v>
      </c>
      <c r="J30" s="196">
        <v>0.01</v>
      </c>
    </row>
    <row r="31" spans="1:10" ht="15.5" x14ac:dyDescent="0.35">
      <c r="A31" s="89" t="s">
        <v>303</v>
      </c>
      <c r="B31" s="271">
        <v>300</v>
      </c>
      <c r="C31" s="191">
        <v>0.03</v>
      </c>
      <c r="D31" s="190">
        <v>270</v>
      </c>
      <c r="E31" s="194">
        <v>175</v>
      </c>
      <c r="F31" s="194">
        <v>85</v>
      </c>
      <c r="G31" s="194">
        <v>15</v>
      </c>
      <c r="H31" s="195">
        <v>0.64</v>
      </c>
      <c r="I31" s="195">
        <v>0.31</v>
      </c>
      <c r="J31" s="196">
        <v>0.05</v>
      </c>
    </row>
    <row r="32" spans="1:10" ht="15.5" x14ac:dyDescent="0.35">
      <c r="A32" s="149" t="s">
        <v>304</v>
      </c>
      <c r="B32" s="271">
        <v>275</v>
      </c>
      <c r="C32" s="191">
        <v>0.02</v>
      </c>
      <c r="D32" s="190">
        <v>240</v>
      </c>
      <c r="E32" s="194">
        <v>135</v>
      </c>
      <c r="F32" s="194">
        <v>95</v>
      </c>
      <c r="G32" s="194">
        <v>10</v>
      </c>
      <c r="H32" s="195">
        <v>0.56999999999999995</v>
      </c>
      <c r="I32" s="195">
        <v>0.39</v>
      </c>
      <c r="J32" s="196">
        <v>0.04</v>
      </c>
    </row>
    <row r="33" spans="1:11" ht="15.5" x14ac:dyDescent="0.35">
      <c r="A33" s="149" t="s">
        <v>317</v>
      </c>
      <c r="B33" s="271">
        <v>440</v>
      </c>
      <c r="C33" s="191">
        <v>0.04</v>
      </c>
      <c r="D33" s="190">
        <v>270</v>
      </c>
      <c r="E33" s="194">
        <v>155</v>
      </c>
      <c r="F33" s="194">
        <v>100</v>
      </c>
      <c r="G33" s="194">
        <v>15</v>
      </c>
      <c r="H33" s="195">
        <v>0.56999999999999995</v>
      </c>
      <c r="I33" s="195">
        <v>0.37</v>
      </c>
      <c r="J33" s="196">
        <v>0.06</v>
      </c>
    </row>
    <row r="34" spans="1:11" ht="15.5" x14ac:dyDescent="0.35">
      <c r="A34" s="149" t="s">
        <v>318</v>
      </c>
      <c r="B34" s="271">
        <v>365</v>
      </c>
      <c r="C34" s="191">
        <v>0.03</v>
      </c>
      <c r="D34" s="190">
        <v>285</v>
      </c>
      <c r="E34" s="194">
        <v>185</v>
      </c>
      <c r="F34" s="194">
        <v>85</v>
      </c>
      <c r="G34" s="194">
        <v>15</v>
      </c>
      <c r="H34" s="195">
        <v>0.65</v>
      </c>
      <c r="I34" s="195">
        <v>0.3</v>
      </c>
      <c r="J34" s="196">
        <v>0.05</v>
      </c>
    </row>
    <row r="35" spans="1:11" ht="15.5" x14ac:dyDescent="0.35">
      <c r="A35" s="89" t="s">
        <v>319</v>
      </c>
      <c r="B35" s="271">
        <v>445</v>
      </c>
      <c r="C35" s="191">
        <v>0.04</v>
      </c>
      <c r="D35" s="190">
        <v>475</v>
      </c>
      <c r="E35" s="194">
        <v>305</v>
      </c>
      <c r="F35" s="194">
        <v>155</v>
      </c>
      <c r="G35" s="194">
        <v>15</v>
      </c>
      <c r="H35" s="195">
        <v>0.65</v>
      </c>
      <c r="I35" s="195">
        <v>0.32</v>
      </c>
      <c r="J35" s="196">
        <v>0.03</v>
      </c>
    </row>
    <row r="36" spans="1:11" ht="15.5" x14ac:dyDescent="0.35">
      <c r="A36" s="89" t="s">
        <v>320</v>
      </c>
      <c r="B36" s="271">
        <v>360</v>
      </c>
      <c r="C36" s="191">
        <v>0.03</v>
      </c>
      <c r="D36" s="190">
        <v>420</v>
      </c>
      <c r="E36" s="194">
        <v>300</v>
      </c>
      <c r="F36" s="194">
        <v>115</v>
      </c>
      <c r="G36" s="194">
        <v>5</v>
      </c>
      <c r="H36" s="195">
        <v>0.72</v>
      </c>
      <c r="I36" s="195">
        <v>0.27</v>
      </c>
      <c r="J36" s="196">
        <v>0.01</v>
      </c>
    </row>
    <row r="37" spans="1:11" ht="15.5" x14ac:dyDescent="0.35">
      <c r="A37" s="89" t="s">
        <v>321</v>
      </c>
      <c r="B37" s="271">
        <v>370</v>
      </c>
      <c r="C37" s="191">
        <v>0.03</v>
      </c>
      <c r="D37" s="190">
        <v>410</v>
      </c>
      <c r="E37" s="194">
        <v>280</v>
      </c>
      <c r="F37" s="194">
        <v>130</v>
      </c>
      <c r="G37" s="194">
        <v>5</v>
      </c>
      <c r="H37" s="195">
        <v>0.67</v>
      </c>
      <c r="I37" s="195">
        <v>0.31</v>
      </c>
      <c r="J37" s="196">
        <v>0.01</v>
      </c>
    </row>
    <row r="38" spans="1:11" ht="15.5" x14ac:dyDescent="0.35">
      <c r="A38" s="89" t="s">
        <v>322</v>
      </c>
      <c r="B38" s="271">
        <v>405</v>
      </c>
      <c r="C38" s="191">
        <v>0.04</v>
      </c>
      <c r="D38" s="190">
        <v>275</v>
      </c>
      <c r="E38" s="194">
        <v>180</v>
      </c>
      <c r="F38" s="194">
        <v>85</v>
      </c>
      <c r="G38" s="194">
        <v>10</v>
      </c>
      <c r="H38" s="195">
        <v>0.66</v>
      </c>
      <c r="I38" s="195">
        <v>0.31</v>
      </c>
      <c r="J38" s="196">
        <v>0.03</v>
      </c>
    </row>
    <row r="39" spans="1:11" ht="15.75" customHeight="1" x14ac:dyDescent="0.35">
      <c r="A39" s="89" t="s">
        <v>391</v>
      </c>
      <c r="B39" s="271">
        <v>340</v>
      </c>
      <c r="C39" s="191">
        <v>0.03</v>
      </c>
      <c r="D39" s="190">
        <v>305</v>
      </c>
      <c r="E39" s="194">
        <v>215</v>
      </c>
      <c r="F39" s="194">
        <v>80</v>
      </c>
      <c r="G39" s="194">
        <v>10</v>
      </c>
      <c r="H39" s="195">
        <v>0.7</v>
      </c>
      <c r="I39" s="195">
        <v>0.26</v>
      </c>
      <c r="J39" s="196">
        <v>0.04</v>
      </c>
      <c r="K39" s="123"/>
    </row>
    <row r="40" spans="1:11" ht="15.75" customHeight="1" x14ac:dyDescent="0.35">
      <c r="A40" s="89" t="s">
        <v>392</v>
      </c>
      <c r="B40" s="271">
        <v>305</v>
      </c>
      <c r="C40" s="191">
        <v>0.03</v>
      </c>
      <c r="D40" s="190">
        <v>410</v>
      </c>
      <c r="E40" s="194">
        <v>285</v>
      </c>
      <c r="F40" s="194">
        <v>125</v>
      </c>
      <c r="G40" s="194">
        <v>0</v>
      </c>
      <c r="H40" s="195">
        <v>0.69</v>
      </c>
      <c r="I40" s="195">
        <v>0.31</v>
      </c>
      <c r="J40" s="196">
        <v>0</v>
      </c>
      <c r="K40" s="27"/>
    </row>
    <row r="41" spans="1:11" ht="15.75" customHeight="1" x14ac:dyDescent="0.35">
      <c r="A41" s="89" t="s">
        <v>393</v>
      </c>
      <c r="B41" s="271">
        <v>340</v>
      </c>
      <c r="C41" s="191">
        <v>0.03</v>
      </c>
      <c r="D41" s="190">
        <v>375</v>
      </c>
      <c r="E41" s="194">
        <v>260</v>
      </c>
      <c r="F41" s="194">
        <v>110</v>
      </c>
      <c r="G41" s="194">
        <v>5</v>
      </c>
      <c r="H41" s="195">
        <v>0.7</v>
      </c>
      <c r="I41" s="195">
        <v>0.28999999999999998</v>
      </c>
      <c r="J41" s="196">
        <v>0.01</v>
      </c>
      <c r="K41" s="27"/>
    </row>
    <row r="42" spans="1:11" ht="15.75" customHeight="1" x14ac:dyDescent="0.35">
      <c r="A42" s="187" t="s">
        <v>410</v>
      </c>
      <c r="B42" s="271">
        <v>335</v>
      </c>
      <c r="C42" s="191">
        <v>0.03</v>
      </c>
      <c r="D42" s="190">
        <v>310</v>
      </c>
      <c r="E42" s="194">
        <v>230</v>
      </c>
      <c r="F42" s="194">
        <v>80</v>
      </c>
      <c r="G42" s="194">
        <v>5</v>
      </c>
      <c r="H42" s="195">
        <v>0.73</v>
      </c>
      <c r="I42" s="195">
        <v>0.25</v>
      </c>
      <c r="J42" s="196">
        <v>0.02</v>
      </c>
      <c r="K42" s="27"/>
    </row>
    <row r="43" spans="1:11" ht="15.75" customHeight="1" x14ac:dyDescent="0.35">
      <c r="A43" s="187" t="s">
        <v>411</v>
      </c>
      <c r="B43" s="271">
        <v>365</v>
      </c>
      <c r="C43" s="191">
        <v>0.03</v>
      </c>
      <c r="D43" s="190">
        <v>395</v>
      </c>
      <c r="E43" s="194">
        <v>285</v>
      </c>
      <c r="F43" s="194">
        <v>100</v>
      </c>
      <c r="G43" s="194">
        <v>10</v>
      </c>
      <c r="H43" s="195">
        <v>0.72</v>
      </c>
      <c r="I43" s="195">
        <v>0.26</v>
      </c>
      <c r="J43" s="196">
        <v>0.02</v>
      </c>
    </row>
    <row r="44" spans="1:11" ht="16" thickBot="1" x14ac:dyDescent="0.4">
      <c r="A44" s="187" t="s">
        <v>412</v>
      </c>
      <c r="B44" s="272">
        <v>335</v>
      </c>
      <c r="C44" s="198">
        <v>0.03</v>
      </c>
      <c r="D44" s="203">
        <v>255</v>
      </c>
      <c r="E44" s="204">
        <v>175</v>
      </c>
      <c r="F44" s="197">
        <v>75</v>
      </c>
      <c r="G44" s="197">
        <v>5</v>
      </c>
      <c r="H44" s="199">
        <v>0.69</v>
      </c>
      <c r="I44" s="198">
        <v>0.3</v>
      </c>
      <c r="J44" s="199">
        <v>0.01</v>
      </c>
    </row>
    <row r="45" spans="1:11" ht="15.5" x14ac:dyDescent="0.35">
      <c r="A45" s="20" t="s">
        <v>97</v>
      </c>
      <c r="B45" s="184">
        <v>1750</v>
      </c>
      <c r="C45" s="118">
        <v>0.15</v>
      </c>
      <c r="D45" s="184">
        <v>1405</v>
      </c>
      <c r="E45" s="184">
        <v>1185</v>
      </c>
      <c r="F45" s="184">
        <v>175</v>
      </c>
      <c r="G45" s="184">
        <v>45</v>
      </c>
      <c r="H45" s="119">
        <v>0.84</v>
      </c>
      <c r="I45" s="118">
        <v>0.12</v>
      </c>
      <c r="J45" s="119">
        <v>0.03</v>
      </c>
    </row>
    <row r="46" spans="1:11" ht="15.5" x14ac:dyDescent="0.35">
      <c r="A46" s="18" t="s">
        <v>98</v>
      </c>
      <c r="B46" s="108">
        <v>3375</v>
      </c>
      <c r="C46" s="195">
        <v>0.28999999999999998</v>
      </c>
      <c r="D46" s="108">
        <v>3470</v>
      </c>
      <c r="E46" s="108">
        <v>2290</v>
      </c>
      <c r="F46" s="108">
        <v>1115</v>
      </c>
      <c r="G46" s="108">
        <v>70</v>
      </c>
      <c r="H46" s="195">
        <v>0.66</v>
      </c>
      <c r="I46" s="195">
        <v>0.32</v>
      </c>
      <c r="J46" s="191">
        <v>0.02</v>
      </c>
      <c r="K46" s="52"/>
    </row>
    <row r="47" spans="1:11" ht="15.75" customHeight="1" x14ac:dyDescent="0.35">
      <c r="A47" s="164" t="s">
        <v>99</v>
      </c>
      <c r="B47" s="108">
        <v>3935</v>
      </c>
      <c r="C47" s="195">
        <v>0.34</v>
      </c>
      <c r="D47" s="108">
        <v>3725</v>
      </c>
      <c r="E47" s="108">
        <v>2490</v>
      </c>
      <c r="F47" s="108">
        <v>1155</v>
      </c>
      <c r="G47" s="108">
        <v>85</v>
      </c>
      <c r="H47" s="195">
        <v>0.67</v>
      </c>
      <c r="I47" s="195">
        <v>0.31</v>
      </c>
      <c r="J47" s="191">
        <v>0.02</v>
      </c>
    </row>
    <row r="48" spans="1:11" ht="15.5" x14ac:dyDescent="0.35">
      <c r="A48" s="164" t="s">
        <v>323</v>
      </c>
      <c r="B48" s="108">
        <v>2430</v>
      </c>
      <c r="C48" s="195">
        <v>0.21</v>
      </c>
      <c r="D48" s="108">
        <v>2325</v>
      </c>
      <c r="E48" s="108">
        <v>1630</v>
      </c>
      <c r="F48" s="108">
        <v>655</v>
      </c>
      <c r="G48" s="108">
        <v>40</v>
      </c>
      <c r="H48" s="195">
        <v>0.7</v>
      </c>
      <c r="I48" s="195">
        <v>0.28000000000000003</v>
      </c>
      <c r="J48" s="191">
        <v>0.02</v>
      </c>
    </row>
    <row r="49" spans="1:10" ht="15.5" x14ac:dyDescent="0.35">
      <c r="A49" s="147" t="s">
        <v>8</v>
      </c>
      <c r="B49" s="123"/>
      <c r="C49" s="123"/>
      <c r="D49" s="123"/>
      <c r="E49" s="123"/>
      <c r="F49" s="123"/>
      <c r="G49" s="123"/>
      <c r="H49" s="123"/>
      <c r="I49" s="123"/>
      <c r="J49" s="123"/>
    </row>
    <row r="50" spans="1:10" ht="15.5" x14ac:dyDescent="0.35">
      <c r="A50" s="45" t="s">
        <v>92</v>
      </c>
      <c r="C50" s="27"/>
      <c r="D50" s="27"/>
      <c r="E50" s="27"/>
      <c r="F50" s="27"/>
      <c r="G50" s="27"/>
      <c r="H50" s="27"/>
      <c r="I50" s="27"/>
      <c r="J50" s="27"/>
    </row>
    <row r="51" spans="1:10" ht="15.5" x14ac:dyDescent="0.35">
      <c r="A51" s="45" t="s">
        <v>310</v>
      </c>
      <c r="B51" s="27"/>
      <c r="C51" s="27"/>
      <c r="D51" s="27"/>
      <c r="E51" s="27"/>
      <c r="F51" s="27"/>
      <c r="G51" s="27"/>
      <c r="H51" s="27"/>
      <c r="I51" s="27"/>
      <c r="J51" s="27"/>
    </row>
    <row r="52" spans="1:10" ht="204.75" customHeight="1" x14ac:dyDescent="0.35">
      <c r="A52" s="138" t="s">
        <v>413</v>
      </c>
    </row>
    <row r="53" spans="1:10" ht="15.5" x14ac:dyDescent="0.35">
      <c r="A53" s="45" t="s">
        <v>395</v>
      </c>
      <c r="B53" s="52"/>
      <c r="C53" s="52"/>
      <c r="D53" s="52"/>
      <c r="E53" s="52"/>
      <c r="F53" s="52"/>
      <c r="G53" s="52"/>
      <c r="H53" s="52"/>
      <c r="I53" s="52"/>
      <c r="J53" s="52"/>
    </row>
    <row r="54" spans="1:10" ht="15.5" x14ac:dyDescent="0.35">
      <c r="A54" s="30"/>
    </row>
  </sheetData>
  <conditionalFormatting sqref="H28:J44 C7:C44 C46 H46:J46">
    <cfRule type="dataBar" priority="14">
      <dataBar>
        <cfvo type="num" val="0"/>
        <cfvo type="num" val="1"/>
        <color rgb="FFB4A9D4"/>
      </dataBar>
      <extLst>
        <ext xmlns:x14="http://schemas.microsoft.com/office/spreadsheetml/2009/9/main" uri="{B025F937-C7B1-47D3-B67F-A62EFF666E3E}">
          <x14:id>{6180ADE2-945D-4C51-99AB-D1626998CA93}</x14:id>
        </ext>
      </extLst>
    </cfRule>
  </conditionalFormatting>
  <conditionalFormatting sqref="H7">
    <cfRule type="dataBar" priority="18">
      <dataBar>
        <cfvo type="num" val="0"/>
        <cfvo type="num" val="1"/>
        <color rgb="FFB4A9D4"/>
      </dataBar>
      <extLst>
        <ext xmlns:x14="http://schemas.microsoft.com/office/spreadsheetml/2009/9/main" uri="{B025F937-C7B1-47D3-B67F-A62EFF666E3E}">
          <x14:id>{7281F757-A9EC-43A6-A329-B946FB055DAF}</x14:id>
        </ext>
      </extLst>
    </cfRule>
  </conditionalFormatting>
  <conditionalFormatting sqref="I7:J7">
    <cfRule type="dataBar" priority="17">
      <dataBar>
        <cfvo type="num" val="0"/>
        <cfvo type="num" val="1"/>
        <color rgb="FFB4A9D4"/>
      </dataBar>
      <extLst>
        <ext xmlns:x14="http://schemas.microsoft.com/office/spreadsheetml/2009/9/main" uri="{B025F937-C7B1-47D3-B67F-A62EFF666E3E}">
          <x14:id>{B7723773-500D-409A-93E0-969315C8173D}</x14:id>
        </ext>
      </extLst>
    </cfRule>
  </conditionalFormatting>
  <conditionalFormatting sqref="H9:J16 H21:J25 H17:H20 H26:H27 H8">
    <cfRule type="dataBar" priority="15">
      <dataBar>
        <cfvo type="num" val="0"/>
        <cfvo type="num" val="1"/>
        <color rgb="FFB4A9D4"/>
      </dataBar>
      <extLst>
        <ext xmlns:x14="http://schemas.microsoft.com/office/spreadsheetml/2009/9/main" uri="{B025F937-C7B1-47D3-B67F-A62EFF666E3E}">
          <x14:id>{2C5D033B-F562-4246-82DC-8692C58E5EBE}</x14:id>
        </ext>
      </extLst>
    </cfRule>
  </conditionalFormatting>
  <conditionalFormatting sqref="C47:C48 H47:J48">
    <cfRule type="dataBar" priority="13">
      <dataBar>
        <cfvo type="num" val="0"/>
        <cfvo type="num" val="1"/>
        <color rgb="FFB4A9D4"/>
      </dataBar>
      <extLst>
        <ext xmlns:x14="http://schemas.microsoft.com/office/spreadsheetml/2009/9/main" uri="{B025F937-C7B1-47D3-B67F-A62EFF666E3E}">
          <x14:id>{1A2D369F-0F4C-401E-A6A5-D8A0AB8358AF}</x14:id>
        </ext>
      </extLst>
    </cfRule>
  </conditionalFormatting>
  <conditionalFormatting sqref="H45:J45 C45">
    <cfRule type="dataBar" priority="8">
      <dataBar>
        <cfvo type="num" val="0"/>
        <cfvo type="num" val="1"/>
        <color rgb="FFB4A9D4"/>
      </dataBar>
      <extLst>
        <ext xmlns:x14="http://schemas.microsoft.com/office/spreadsheetml/2009/9/main" uri="{B025F937-C7B1-47D3-B67F-A62EFF666E3E}">
          <x14:id>{DACE04AF-CFDA-45BC-9169-D5832B4C6F36}</x14:id>
        </ext>
      </extLst>
    </cfRule>
  </conditionalFormatting>
  <conditionalFormatting sqref="I8">
    <cfRule type="dataBar" priority="7">
      <dataBar>
        <cfvo type="num" val="0"/>
        <cfvo type="num" val="1"/>
        <color rgb="FFB4A9D4"/>
      </dataBar>
      <extLst>
        <ext xmlns:x14="http://schemas.microsoft.com/office/spreadsheetml/2009/9/main" uri="{B025F937-C7B1-47D3-B67F-A62EFF666E3E}">
          <x14:id>{07934D6A-5DE2-41D4-B48F-F6558BF4400B}</x14:id>
        </ext>
      </extLst>
    </cfRule>
  </conditionalFormatting>
  <conditionalFormatting sqref="I26">
    <cfRule type="dataBar" priority="2">
      <dataBar>
        <cfvo type="num" val="0"/>
        <cfvo type="num" val="1"/>
        <color rgb="FFB4A9D4"/>
      </dataBar>
      <extLst>
        <ext xmlns:x14="http://schemas.microsoft.com/office/spreadsheetml/2009/9/main" uri="{B025F937-C7B1-47D3-B67F-A62EFF666E3E}">
          <x14:id>{23E0CEB4-AB87-4681-ABBC-7839B82EB1AF}</x14:id>
        </ext>
      </extLst>
    </cfRule>
  </conditionalFormatting>
  <conditionalFormatting sqref="I27">
    <cfRule type="dataBar" priority="1">
      <dataBar>
        <cfvo type="num" val="0"/>
        <cfvo type="num" val="1"/>
        <color rgb="FFB4A9D4"/>
      </dataBar>
      <extLst>
        <ext xmlns:x14="http://schemas.microsoft.com/office/spreadsheetml/2009/9/main" uri="{B025F937-C7B1-47D3-B67F-A62EFF666E3E}">
          <x14:id>{30828E69-DA2F-4284-B6E8-8A923F2BD394}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180ADE2-945D-4C51-99AB-D1626998CA93}">
            <x14:dataBar minLength="0" maxLength="100" gradient="0">
              <x14:cfvo type="num">
                <xm:f>0</xm:f>
              </x14:cfvo>
              <x14:cfvo type="num">
                <xm:f>1</xm:f>
              </x14:cfvo>
              <x14:negativeFillColor rgb="FFFF0000"/>
              <x14:axisColor rgb="FF000000"/>
            </x14:dataBar>
          </x14:cfRule>
          <xm:sqref>H28:J44 C7:C44 C46 H46:J46</xm:sqref>
        </x14:conditionalFormatting>
        <x14:conditionalFormatting xmlns:xm="http://schemas.microsoft.com/office/excel/2006/main">
          <x14:cfRule type="dataBar" id="{7281F757-A9EC-43A6-A329-B946FB055DAF}">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B7723773-500D-409A-93E0-969315C8173D}">
            <x14:dataBar minLength="0" maxLength="100" gradient="0">
              <x14:cfvo type="num">
                <xm:f>0</xm:f>
              </x14:cfvo>
              <x14:cfvo type="num">
                <xm:f>1</xm:f>
              </x14:cfvo>
              <x14:negativeFillColor rgb="FFFF0000"/>
              <x14:axisColor rgb="FF000000"/>
            </x14:dataBar>
          </x14:cfRule>
          <xm:sqref>I7:J7</xm:sqref>
        </x14:conditionalFormatting>
        <x14:conditionalFormatting xmlns:xm="http://schemas.microsoft.com/office/excel/2006/main">
          <x14:cfRule type="dataBar" id="{2C5D033B-F562-4246-82DC-8692C58E5EBE}">
            <x14:dataBar minLength="0" maxLength="100" gradient="0">
              <x14:cfvo type="num">
                <xm:f>0</xm:f>
              </x14:cfvo>
              <x14:cfvo type="num">
                <xm:f>1</xm:f>
              </x14:cfvo>
              <x14:negativeFillColor rgb="FFFF0000"/>
              <x14:axisColor rgb="FF000000"/>
            </x14:dataBar>
          </x14:cfRule>
          <xm:sqref>H9:J16 H21:J25 H17:H20 H26:H27 H8</xm:sqref>
        </x14:conditionalFormatting>
        <x14:conditionalFormatting xmlns:xm="http://schemas.microsoft.com/office/excel/2006/main">
          <x14:cfRule type="dataBar" id="{1A2D369F-0F4C-401E-A6A5-D8A0AB8358AF}">
            <x14:dataBar minLength="0" maxLength="100" gradient="0">
              <x14:cfvo type="num">
                <xm:f>0</xm:f>
              </x14:cfvo>
              <x14:cfvo type="num">
                <xm:f>1</xm:f>
              </x14:cfvo>
              <x14:negativeFillColor rgb="FFFF0000"/>
              <x14:axisColor rgb="FF000000"/>
            </x14:dataBar>
          </x14:cfRule>
          <xm:sqref>C47:C48 H47:J48</xm:sqref>
        </x14:conditionalFormatting>
        <x14:conditionalFormatting xmlns:xm="http://schemas.microsoft.com/office/excel/2006/main">
          <x14:cfRule type="dataBar" id="{DACE04AF-CFDA-45BC-9169-D5832B4C6F36}">
            <x14:dataBar minLength="0" maxLength="100" gradient="0">
              <x14:cfvo type="num">
                <xm:f>0</xm:f>
              </x14:cfvo>
              <x14:cfvo type="num">
                <xm:f>1</xm:f>
              </x14:cfvo>
              <x14:negativeFillColor rgb="FFFF0000"/>
              <x14:axisColor rgb="FF000000"/>
            </x14:dataBar>
          </x14:cfRule>
          <xm:sqref>H45:J45 C45</xm:sqref>
        </x14:conditionalFormatting>
        <x14:conditionalFormatting xmlns:xm="http://schemas.microsoft.com/office/excel/2006/main">
          <x14:cfRule type="dataBar" id="{07934D6A-5DE2-41D4-B48F-F6558BF4400B}">
            <x14:dataBar minLength="0" maxLength="100" gradient="0">
              <x14:cfvo type="num">
                <xm:f>0</xm:f>
              </x14:cfvo>
              <x14:cfvo type="num">
                <xm:f>1</xm:f>
              </x14:cfvo>
              <x14:negativeFillColor rgb="FFFF0000"/>
              <x14:axisColor rgb="FF000000"/>
            </x14:dataBar>
          </x14:cfRule>
          <xm:sqref>I8</xm:sqref>
        </x14:conditionalFormatting>
        <x14:conditionalFormatting xmlns:xm="http://schemas.microsoft.com/office/excel/2006/main">
          <x14:cfRule type="dataBar" id="{23E0CEB4-AB87-4681-ABBC-7839B82EB1AF}">
            <x14:dataBar minLength="0" maxLength="100" gradient="0">
              <x14:cfvo type="num">
                <xm:f>0</xm:f>
              </x14:cfvo>
              <x14:cfvo type="num">
                <xm:f>1</xm:f>
              </x14:cfvo>
              <x14:negativeFillColor rgb="FFFF0000"/>
              <x14:axisColor rgb="FF000000"/>
            </x14:dataBar>
          </x14:cfRule>
          <xm:sqref>I26</xm:sqref>
        </x14:conditionalFormatting>
        <x14:conditionalFormatting xmlns:xm="http://schemas.microsoft.com/office/excel/2006/main">
          <x14:cfRule type="dataBar" id="{30828E69-DA2F-4284-B6E8-8A923F2BD394}">
            <x14:dataBar minLength="0" maxLength="100" gradient="0">
              <x14:cfvo type="num">
                <xm:f>0</xm:f>
              </x14:cfvo>
              <x14:cfvo type="num">
                <xm:f>1</xm:f>
              </x14:cfvo>
              <x14:negativeFillColor rgb="FFFF0000"/>
              <x14:axisColor rgb="FF000000"/>
            </x14:dataBar>
          </x14:cfRule>
          <xm:sqref>I27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heetViews>
  <sheetFormatPr defaultColWidth="19.1796875" defaultRowHeight="14.5" x14ac:dyDescent="0.35"/>
  <cols>
    <col min="1" max="1" width="22" customWidth="1"/>
    <col min="4" max="4" width="18.26953125" customWidth="1"/>
  </cols>
  <sheetData>
    <row r="1" spans="1:8" ht="21" x14ac:dyDescent="0.5">
      <c r="A1" s="24" t="s">
        <v>18</v>
      </c>
    </row>
    <row r="2" spans="1:8" ht="15.5" x14ac:dyDescent="0.35">
      <c r="A2" s="25" t="s">
        <v>74</v>
      </c>
    </row>
    <row r="3" spans="1:8" ht="15.5" x14ac:dyDescent="0.35">
      <c r="A3" s="132" t="s">
        <v>300</v>
      </c>
    </row>
    <row r="4" spans="1:8" ht="15.5" x14ac:dyDescent="0.35">
      <c r="A4" s="132" t="s">
        <v>301</v>
      </c>
    </row>
    <row r="5" spans="1:8" ht="15.5" x14ac:dyDescent="0.35">
      <c r="A5" s="26" t="s">
        <v>306</v>
      </c>
    </row>
    <row r="6" spans="1:8" ht="63.65" customHeight="1" x14ac:dyDescent="0.35">
      <c r="A6" s="21" t="s">
        <v>370</v>
      </c>
      <c r="B6" s="21" t="s">
        <v>6</v>
      </c>
      <c r="C6" s="23" t="s">
        <v>68</v>
      </c>
      <c r="D6" s="214" t="s">
        <v>69</v>
      </c>
      <c r="E6" s="213" t="s">
        <v>371</v>
      </c>
      <c r="F6" s="22" t="s">
        <v>70</v>
      </c>
      <c r="G6" s="23" t="s">
        <v>71</v>
      </c>
      <c r="H6" s="22" t="s">
        <v>72</v>
      </c>
    </row>
    <row r="7" spans="1:8" ht="15.5" x14ac:dyDescent="0.35">
      <c r="A7" s="210" t="s">
        <v>6</v>
      </c>
      <c r="B7" s="106">
        <v>11490</v>
      </c>
      <c r="C7" s="107">
        <v>10865</v>
      </c>
      <c r="D7" s="106">
        <v>145</v>
      </c>
      <c r="E7" s="106">
        <v>475</v>
      </c>
      <c r="F7" s="97">
        <v>0.95</v>
      </c>
      <c r="G7" s="97">
        <v>0.01</v>
      </c>
      <c r="H7" s="215">
        <v>0.04</v>
      </c>
    </row>
    <row r="8" spans="1:8" ht="16.5" customHeight="1" x14ac:dyDescent="0.35">
      <c r="A8" s="211" t="s">
        <v>39</v>
      </c>
      <c r="B8" s="194">
        <v>370</v>
      </c>
      <c r="C8" s="202">
        <v>330</v>
      </c>
      <c r="D8" s="194">
        <v>15</v>
      </c>
      <c r="E8" s="194">
        <v>25</v>
      </c>
      <c r="F8" s="195">
        <v>0.89</v>
      </c>
      <c r="G8" s="195">
        <v>0.05</v>
      </c>
      <c r="H8" s="191">
        <v>0.06</v>
      </c>
    </row>
    <row r="9" spans="1:8" ht="15.5" x14ac:dyDescent="0.35">
      <c r="A9" s="211" t="s">
        <v>40</v>
      </c>
      <c r="B9" s="208">
        <v>385</v>
      </c>
      <c r="C9" s="202">
        <v>340</v>
      </c>
      <c r="D9" s="194">
        <v>30</v>
      </c>
      <c r="E9" s="194">
        <v>15</v>
      </c>
      <c r="F9" s="195">
        <v>0.88</v>
      </c>
      <c r="G9" s="195">
        <v>7.0000000000000007E-2</v>
      </c>
      <c r="H9" s="191">
        <v>0.04</v>
      </c>
    </row>
    <row r="10" spans="1:8" ht="15.5" x14ac:dyDescent="0.35">
      <c r="A10" s="211" t="s">
        <v>41</v>
      </c>
      <c r="B10" s="208">
        <v>355</v>
      </c>
      <c r="C10" s="202">
        <v>335</v>
      </c>
      <c r="D10" s="194">
        <v>5</v>
      </c>
      <c r="E10" s="194">
        <v>15</v>
      </c>
      <c r="F10" s="195">
        <v>0.94</v>
      </c>
      <c r="G10" s="195">
        <v>0.02</v>
      </c>
      <c r="H10" s="191">
        <v>0.04</v>
      </c>
    </row>
    <row r="11" spans="1:8" ht="15.5" x14ac:dyDescent="0.35">
      <c r="A11" s="212" t="s">
        <v>42</v>
      </c>
      <c r="B11" s="209">
        <v>270</v>
      </c>
      <c r="C11" s="202">
        <v>245</v>
      </c>
      <c r="D11" s="194">
        <v>10</v>
      </c>
      <c r="E11" s="194">
        <v>15</v>
      </c>
      <c r="F11" s="195">
        <v>0.91</v>
      </c>
      <c r="G11" s="195">
        <v>0.04</v>
      </c>
      <c r="H11" s="191">
        <v>0.05</v>
      </c>
    </row>
    <row r="12" spans="1:8" ht="15.5" x14ac:dyDescent="0.35">
      <c r="A12" s="15" t="s">
        <v>43</v>
      </c>
      <c r="B12" s="208">
        <v>225</v>
      </c>
      <c r="C12" s="202">
        <v>210</v>
      </c>
      <c r="D12" s="194">
        <v>10</v>
      </c>
      <c r="E12" s="194">
        <v>5</v>
      </c>
      <c r="F12" s="195">
        <v>0.93</v>
      </c>
      <c r="G12" s="195">
        <v>0.04</v>
      </c>
      <c r="H12" s="191">
        <v>0.03</v>
      </c>
    </row>
    <row r="13" spans="1:8" ht="15.5" x14ac:dyDescent="0.35">
      <c r="A13" s="15" t="s">
        <v>44</v>
      </c>
      <c r="B13" s="208">
        <v>150</v>
      </c>
      <c r="C13" s="202">
        <v>125</v>
      </c>
      <c r="D13" s="194">
        <v>10</v>
      </c>
      <c r="E13" s="194">
        <v>15</v>
      </c>
      <c r="F13" s="195">
        <v>0.85</v>
      </c>
      <c r="G13" s="195">
        <v>0.06</v>
      </c>
      <c r="H13" s="191">
        <v>0.09</v>
      </c>
    </row>
    <row r="14" spans="1:8" ht="15.5" x14ac:dyDescent="0.35">
      <c r="A14" s="15" t="s">
        <v>45</v>
      </c>
      <c r="B14" s="208">
        <v>170</v>
      </c>
      <c r="C14" s="202">
        <v>165</v>
      </c>
      <c r="D14" s="194">
        <v>5</v>
      </c>
      <c r="E14" s="194">
        <v>0</v>
      </c>
      <c r="F14" s="195">
        <v>0.97</v>
      </c>
      <c r="G14" s="195">
        <v>0.02</v>
      </c>
      <c r="H14" s="191">
        <v>0</v>
      </c>
    </row>
    <row r="15" spans="1:8" ht="15.5" x14ac:dyDescent="0.35">
      <c r="A15" s="15" t="s">
        <v>46</v>
      </c>
      <c r="B15" s="208">
        <v>165</v>
      </c>
      <c r="C15" s="202">
        <v>160</v>
      </c>
      <c r="D15" s="108" t="s">
        <v>109</v>
      </c>
      <c r="E15" s="108" t="s">
        <v>109</v>
      </c>
      <c r="F15" s="195">
        <v>0.98</v>
      </c>
      <c r="G15" s="108" t="s">
        <v>109</v>
      </c>
      <c r="H15" s="205" t="s">
        <v>109</v>
      </c>
    </row>
    <row r="16" spans="1:8" ht="15.5" x14ac:dyDescent="0.35">
      <c r="A16" s="15" t="s">
        <v>47</v>
      </c>
      <c r="B16" s="208">
        <v>225</v>
      </c>
      <c r="C16" s="202">
        <v>220</v>
      </c>
      <c r="D16" s="108" t="s">
        <v>109</v>
      </c>
      <c r="E16" s="194">
        <v>5</v>
      </c>
      <c r="F16" s="195">
        <v>0.98</v>
      </c>
      <c r="G16" s="263" t="s">
        <v>109</v>
      </c>
      <c r="H16" s="264" t="s">
        <v>109</v>
      </c>
    </row>
    <row r="17" spans="1:9" ht="15.5" x14ac:dyDescent="0.35">
      <c r="A17" s="15" t="s">
        <v>48</v>
      </c>
      <c r="B17" s="208">
        <v>135</v>
      </c>
      <c r="C17" s="202">
        <v>130</v>
      </c>
      <c r="D17" s="108" t="s">
        <v>109</v>
      </c>
      <c r="E17" s="194">
        <v>5</v>
      </c>
      <c r="F17" s="195">
        <v>0.96</v>
      </c>
      <c r="G17" s="263" t="s">
        <v>109</v>
      </c>
      <c r="H17" s="264" t="s">
        <v>109</v>
      </c>
    </row>
    <row r="18" spans="1:9" ht="15.5" x14ac:dyDescent="0.35">
      <c r="A18" s="15" t="s">
        <v>49</v>
      </c>
      <c r="B18" s="208">
        <v>180</v>
      </c>
      <c r="C18" s="202">
        <v>170</v>
      </c>
      <c r="D18" s="108" t="s">
        <v>109</v>
      </c>
      <c r="E18" s="194">
        <v>5</v>
      </c>
      <c r="F18" s="195">
        <v>0.96</v>
      </c>
      <c r="G18" s="263" t="s">
        <v>109</v>
      </c>
      <c r="H18" s="264" t="s">
        <v>109</v>
      </c>
    </row>
    <row r="19" spans="1:9" ht="15.5" x14ac:dyDescent="0.35">
      <c r="A19" s="15" t="s">
        <v>50</v>
      </c>
      <c r="B19" s="208">
        <v>205</v>
      </c>
      <c r="C19" s="202">
        <v>200</v>
      </c>
      <c r="D19" s="194">
        <v>5</v>
      </c>
      <c r="E19" s="108" t="s">
        <v>109</v>
      </c>
      <c r="F19" s="195">
        <v>0.98</v>
      </c>
      <c r="G19" s="265" t="s">
        <v>109</v>
      </c>
      <c r="H19" s="266" t="s">
        <v>109</v>
      </c>
    </row>
    <row r="20" spans="1:9" ht="15.5" x14ac:dyDescent="0.35">
      <c r="A20" s="15" t="s">
        <v>51</v>
      </c>
      <c r="B20" s="208">
        <v>295</v>
      </c>
      <c r="C20" s="202">
        <v>285</v>
      </c>
      <c r="D20" s="194">
        <v>5</v>
      </c>
      <c r="E20" s="194">
        <v>5</v>
      </c>
      <c r="F20" s="195">
        <v>0.98</v>
      </c>
      <c r="G20" s="195">
        <v>0.01</v>
      </c>
      <c r="H20" s="191">
        <v>0.01</v>
      </c>
    </row>
    <row r="21" spans="1:9" ht="15.5" x14ac:dyDescent="0.35">
      <c r="A21" s="15" t="s">
        <v>52</v>
      </c>
      <c r="B21" s="208">
        <v>575</v>
      </c>
      <c r="C21" s="202">
        <v>550</v>
      </c>
      <c r="D21" s="194">
        <v>5</v>
      </c>
      <c r="E21" s="194">
        <v>15</v>
      </c>
      <c r="F21" s="195">
        <v>0.96</v>
      </c>
      <c r="G21" s="195">
        <v>0.01</v>
      </c>
      <c r="H21" s="191">
        <v>0.03</v>
      </c>
    </row>
    <row r="22" spans="1:9" ht="15.5" x14ac:dyDescent="0.35">
      <c r="A22" s="15" t="s">
        <v>53</v>
      </c>
      <c r="B22" s="208">
        <v>380</v>
      </c>
      <c r="C22" s="202">
        <v>360</v>
      </c>
      <c r="D22" s="194">
        <v>5</v>
      </c>
      <c r="E22" s="194">
        <v>15</v>
      </c>
      <c r="F22" s="195">
        <v>0.95</v>
      </c>
      <c r="G22" s="195">
        <v>0.01</v>
      </c>
      <c r="H22" s="191">
        <v>0.04</v>
      </c>
    </row>
    <row r="23" spans="1:9" ht="15.5" x14ac:dyDescent="0.35">
      <c r="A23" s="15" t="s">
        <v>54</v>
      </c>
      <c r="B23" s="208">
        <v>385</v>
      </c>
      <c r="C23" s="202">
        <v>370</v>
      </c>
      <c r="D23" s="194">
        <v>5</v>
      </c>
      <c r="E23" s="194">
        <v>10</v>
      </c>
      <c r="F23" s="195">
        <v>0.96</v>
      </c>
      <c r="G23" s="195">
        <v>0.02</v>
      </c>
      <c r="H23" s="191">
        <v>0.02</v>
      </c>
    </row>
    <row r="24" spans="1:9" ht="15.5" x14ac:dyDescent="0.35">
      <c r="A24" s="15" t="s">
        <v>55</v>
      </c>
      <c r="B24" s="208">
        <v>335</v>
      </c>
      <c r="C24" s="202">
        <v>320</v>
      </c>
      <c r="D24" s="108" t="s">
        <v>109</v>
      </c>
      <c r="E24" s="194">
        <v>15</v>
      </c>
      <c r="F24" s="195">
        <v>0.96</v>
      </c>
      <c r="G24" s="108" t="s">
        <v>109</v>
      </c>
      <c r="H24" s="264" t="s">
        <v>109</v>
      </c>
    </row>
    <row r="25" spans="1:9" ht="15.5" x14ac:dyDescent="0.35">
      <c r="A25" s="15" t="s">
        <v>56</v>
      </c>
      <c r="B25" s="208">
        <v>330</v>
      </c>
      <c r="C25" s="202">
        <v>315</v>
      </c>
      <c r="D25" s="108" t="s">
        <v>109</v>
      </c>
      <c r="E25" s="194">
        <v>15</v>
      </c>
      <c r="F25" s="195">
        <v>0.95</v>
      </c>
      <c r="G25" s="108" t="s">
        <v>109</v>
      </c>
      <c r="H25" s="264" t="s">
        <v>109</v>
      </c>
    </row>
    <row r="26" spans="1:9" ht="15.5" x14ac:dyDescent="0.35">
      <c r="A26" s="15" t="s">
        <v>57</v>
      </c>
      <c r="B26" s="208">
        <v>270</v>
      </c>
      <c r="C26" s="202">
        <v>260</v>
      </c>
      <c r="D26" s="194">
        <v>0</v>
      </c>
      <c r="E26" s="194">
        <v>10</v>
      </c>
      <c r="F26" s="195">
        <v>0.96</v>
      </c>
      <c r="G26" s="195">
        <v>0</v>
      </c>
      <c r="H26" s="264">
        <v>0.04</v>
      </c>
    </row>
    <row r="27" spans="1:9" ht="15.5" x14ac:dyDescent="0.35">
      <c r="A27" s="15" t="s">
        <v>58</v>
      </c>
      <c r="B27" s="208">
        <v>270</v>
      </c>
      <c r="C27" s="202">
        <v>255</v>
      </c>
      <c r="D27" s="108" t="s">
        <v>109</v>
      </c>
      <c r="E27" s="194">
        <v>10</v>
      </c>
      <c r="F27" s="195">
        <v>0.95</v>
      </c>
      <c r="G27" s="108" t="s">
        <v>109</v>
      </c>
      <c r="H27" s="264" t="s">
        <v>109</v>
      </c>
    </row>
    <row r="28" spans="1:9" ht="15.5" x14ac:dyDescent="0.35">
      <c r="A28" s="15" t="s">
        <v>59</v>
      </c>
      <c r="B28" s="208">
        <v>265</v>
      </c>
      <c r="C28" s="202">
        <v>250</v>
      </c>
      <c r="D28" s="108" t="s">
        <v>109</v>
      </c>
      <c r="E28" s="194">
        <v>10</v>
      </c>
      <c r="F28" s="195">
        <v>0.95</v>
      </c>
      <c r="G28" s="108" t="s">
        <v>109</v>
      </c>
      <c r="H28" s="264" t="s">
        <v>109</v>
      </c>
    </row>
    <row r="29" spans="1:9" ht="15.5" x14ac:dyDescent="0.35">
      <c r="A29" s="15" t="s">
        <v>73</v>
      </c>
      <c r="B29" s="208">
        <v>285</v>
      </c>
      <c r="C29" s="202">
        <v>270</v>
      </c>
      <c r="D29" s="108" t="s">
        <v>109</v>
      </c>
      <c r="E29" s="194">
        <v>10</v>
      </c>
      <c r="F29" s="195">
        <v>0.95</v>
      </c>
      <c r="G29" s="108" t="s">
        <v>109</v>
      </c>
      <c r="H29" s="264" t="s">
        <v>109</v>
      </c>
    </row>
    <row r="30" spans="1:9" ht="15.5" x14ac:dyDescent="0.35">
      <c r="A30" s="89" t="s">
        <v>302</v>
      </c>
      <c r="B30" s="208">
        <v>295</v>
      </c>
      <c r="C30" s="202">
        <v>270</v>
      </c>
      <c r="D30" s="194">
        <v>5</v>
      </c>
      <c r="E30" s="194">
        <v>20</v>
      </c>
      <c r="F30" s="195">
        <v>0.92</v>
      </c>
      <c r="G30" s="195">
        <v>0.01</v>
      </c>
      <c r="H30" s="264">
        <v>7.0000000000000007E-2</v>
      </c>
      <c r="I30" s="5"/>
    </row>
    <row r="31" spans="1:9" ht="15.5" x14ac:dyDescent="0.35">
      <c r="A31" s="89" t="s">
        <v>303</v>
      </c>
      <c r="B31" s="208">
        <v>300</v>
      </c>
      <c r="C31" s="202">
        <v>285</v>
      </c>
      <c r="D31" s="108" t="s">
        <v>109</v>
      </c>
      <c r="E31" s="194">
        <v>10</v>
      </c>
      <c r="F31" s="195">
        <v>0.95</v>
      </c>
      <c r="G31" s="108" t="s">
        <v>109</v>
      </c>
      <c r="H31" s="264" t="s">
        <v>109</v>
      </c>
      <c r="I31" s="5"/>
    </row>
    <row r="32" spans="1:9" ht="15.5" x14ac:dyDescent="0.35">
      <c r="A32" s="89" t="s">
        <v>304</v>
      </c>
      <c r="B32" s="208">
        <v>275</v>
      </c>
      <c r="C32" s="202">
        <v>260</v>
      </c>
      <c r="D32" s="108" t="s">
        <v>109</v>
      </c>
      <c r="E32" s="194">
        <v>10</v>
      </c>
      <c r="F32" s="195">
        <v>0.95</v>
      </c>
      <c r="G32" s="108" t="s">
        <v>109</v>
      </c>
      <c r="H32" s="264" t="s">
        <v>109</v>
      </c>
      <c r="I32" s="5"/>
    </row>
    <row r="33" spans="1:9" ht="15.5" x14ac:dyDescent="0.35">
      <c r="A33" s="89" t="s">
        <v>317</v>
      </c>
      <c r="B33" s="208">
        <v>440</v>
      </c>
      <c r="C33" s="202">
        <v>410</v>
      </c>
      <c r="D33" s="194">
        <v>5</v>
      </c>
      <c r="E33" s="194">
        <v>30</v>
      </c>
      <c r="F33" s="195">
        <v>0.93</v>
      </c>
      <c r="G33" s="195">
        <v>0.01</v>
      </c>
      <c r="H33" s="191">
        <v>7.0000000000000007E-2</v>
      </c>
      <c r="I33" s="5"/>
    </row>
    <row r="34" spans="1:9" ht="15.5" x14ac:dyDescent="0.35">
      <c r="A34" s="89" t="s">
        <v>318</v>
      </c>
      <c r="B34" s="208">
        <v>365</v>
      </c>
      <c r="C34" s="202">
        <v>340</v>
      </c>
      <c r="D34" s="194">
        <v>5</v>
      </c>
      <c r="E34" s="194">
        <v>25</v>
      </c>
      <c r="F34" s="195">
        <v>0.93</v>
      </c>
      <c r="G34" s="195">
        <v>0.01</v>
      </c>
      <c r="H34" s="191">
        <v>0.06</v>
      </c>
      <c r="I34" s="5"/>
    </row>
    <row r="35" spans="1:9" ht="16" customHeight="1" x14ac:dyDescent="0.35">
      <c r="A35" s="89" t="s">
        <v>319</v>
      </c>
      <c r="B35" s="208">
        <v>445</v>
      </c>
      <c r="C35" s="202">
        <v>415</v>
      </c>
      <c r="D35" s="194">
        <v>0</v>
      </c>
      <c r="E35" s="194">
        <v>30</v>
      </c>
      <c r="F35" s="195">
        <v>0.93</v>
      </c>
      <c r="G35" s="195">
        <v>0</v>
      </c>
      <c r="H35" s="191">
        <v>7.0000000000000007E-2</v>
      </c>
      <c r="I35" s="5"/>
    </row>
    <row r="36" spans="1:9" ht="16" customHeight="1" x14ac:dyDescent="0.35">
      <c r="A36" s="89" t="s">
        <v>320</v>
      </c>
      <c r="B36" s="208">
        <v>360</v>
      </c>
      <c r="C36" s="202">
        <v>350</v>
      </c>
      <c r="D36" s="194">
        <v>0</v>
      </c>
      <c r="E36" s="194">
        <v>10</v>
      </c>
      <c r="F36" s="195">
        <v>0.97</v>
      </c>
      <c r="G36" s="195">
        <v>0</v>
      </c>
      <c r="H36" s="191">
        <v>0.03</v>
      </c>
      <c r="I36" s="5"/>
    </row>
    <row r="37" spans="1:9" ht="16" customHeight="1" x14ac:dyDescent="0.35">
      <c r="A37" s="89" t="s">
        <v>321</v>
      </c>
      <c r="B37" s="208">
        <v>370</v>
      </c>
      <c r="C37" s="202">
        <v>335</v>
      </c>
      <c r="D37" s="194">
        <v>5</v>
      </c>
      <c r="E37" s="194">
        <v>30</v>
      </c>
      <c r="F37" s="195">
        <v>0.91</v>
      </c>
      <c r="G37" s="195">
        <v>0.01</v>
      </c>
      <c r="H37" s="264">
        <v>0.08</v>
      </c>
      <c r="I37" s="5"/>
    </row>
    <row r="38" spans="1:9" ht="16" customHeight="1" x14ac:dyDescent="0.35">
      <c r="A38" s="89" t="s">
        <v>322</v>
      </c>
      <c r="B38" s="208">
        <v>405</v>
      </c>
      <c r="C38" s="202">
        <v>390</v>
      </c>
      <c r="D38" s="108" t="s">
        <v>109</v>
      </c>
      <c r="E38" s="194">
        <v>15</v>
      </c>
      <c r="F38" s="195">
        <v>0.96</v>
      </c>
      <c r="G38" s="108" t="s">
        <v>109</v>
      </c>
      <c r="H38" s="264" t="s">
        <v>109</v>
      </c>
      <c r="I38" s="5"/>
    </row>
    <row r="39" spans="1:9" ht="15.75" customHeight="1" x14ac:dyDescent="0.35">
      <c r="A39" s="89" t="s">
        <v>391</v>
      </c>
      <c r="B39" s="208">
        <v>340</v>
      </c>
      <c r="C39" s="202">
        <v>325</v>
      </c>
      <c r="D39" s="194">
        <v>5</v>
      </c>
      <c r="E39" s="194">
        <v>10</v>
      </c>
      <c r="F39" s="195">
        <v>0.96</v>
      </c>
      <c r="G39" s="195">
        <v>0.01</v>
      </c>
      <c r="H39" s="264">
        <v>0.02</v>
      </c>
      <c r="I39" s="27"/>
    </row>
    <row r="40" spans="1:9" ht="15.75" customHeight="1" x14ac:dyDescent="0.35">
      <c r="A40" s="89" t="s">
        <v>392</v>
      </c>
      <c r="B40" s="208">
        <v>305</v>
      </c>
      <c r="C40" s="202">
        <v>300</v>
      </c>
      <c r="D40" s="108" t="s">
        <v>109</v>
      </c>
      <c r="E40" s="194">
        <v>5</v>
      </c>
      <c r="F40" s="195">
        <v>0.98</v>
      </c>
      <c r="G40" s="108" t="s">
        <v>109</v>
      </c>
      <c r="H40" s="264" t="s">
        <v>109</v>
      </c>
    </row>
    <row r="41" spans="1:9" ht="15.75" customHeight="1" x14ac:dyDescent="0.35">
      <c r="A41" s="181" t="s">
        <v>393</v>
      </c>
      <c r="B41" s="208">
        <v>340</v>
      </c>
      <c r="C41" s="202">
        <v>325</v>
      </c>
      <c r="D41" s="108" t="s">
        <v>109</v>
      </c>
      <c r="E41" s="194">
        <v>15</v>
      </c>
      <c r="F41" s="195">
        <v>0.96</v>
      </c>
      <c r="G41" s="108" t="s">
        <v>109</v>
      </c>
      <c r="H41" s="264" t="s">
        <v>109</v>
      </c>
    </row>
    <row r="42" spans="1:9" ht="15.75" customHeight="1" x14ac:dyDescent="0.35">
      <c r="A42" s="181" t="s">
        <v>410</v>
      </c>
      <c r="B42" s="208">
        <v>335</v>
      </c>
      <c r="C42" s="202">
        <v>320</v>
      </c>
      <c r="D42" s="194">
        <v>0</v>
      </c>
      <c r="E42" s="194">
        <v>15</v>
      </c>
      <c r="F42" s="195">
        <v>0.96</v>
      </c>
      <c r="G42" s="195">
        <v>0</v>
      </c>
      <c r="H42" s="264">
        <v>0.04</v>
      </c>
    </row>
    <row r="43" spans="1:9" ht="15.5" x14ac:dyDescent="0.35">
      <c r="A43" s="206" t="s">
        <v>411</v>
      </c>
      <c r="B43" s="208">
        <v>365</v>
      </c>
      <c r="C43" s="202">
        <v>350</v>
      </c>
      <c r="D43" s="194">
        <v>5</v>
      </c>
      <c r="E43" s="194">
        <v>15</v>
      </c>
      <c r="F43" s="195">
        <v>0.95</v>
      </c>
      <c r="G43" s="195">
        <v>0.01</v>
      </c>
      <c r="H43" s="191">
        <v>0.04</v>
      </c>
    </row>
    <row r="44" spans="1:9" ht="15.5" x14ac:dyDescent="0.35">
      <c r="A44" s="207" t="s">
        <v>412</v>
      </c>
      <c r="B44" s="208">
        <v>335</v>
      </c>
      <c r="C44" s="202">
        <v>320</v>
      </c>
      <c r="D44" s="197">
        <v>0</v>
      </c>
      <c r="E44" s="194">
        <v>15</v>
      </c>
      <c r="F44" s="195">
        <v>0.96</v>
      </c>
      <c r="G44" s="195">
        <v>0</v>
      </c>
      <c r="H44" s="191">
        <v>0.04</v>
      </c>
    </row>
    <row r="45" spans="1:9" ht="15.5" x14ac:dyDescent="0.35">
      <c r="A45" s="45" t="s">
        <v>8</v>
      </c>
      <c r="B45" s="5"/>
      <c r="C45" s="5"/>
      <c r="D45" s="5"/>
      <c r="E45" s="5"/>
      <c r="F45" s="5"/>
      <c r="G45" s="5"/>
      <c r="H45" s="5"/>
    </row>
    <row r="46" spans="1:9" ht="15.5" x14ac:dyDescent="0.35">
      <c r="A46" s="45" t="s">
        <v>92</v>
      </c>
      <c r="B46" s="5"/>
      <c r="C46" s="5"/>
      <c r="D46" s="13"/>
      <c r="E46" s="5"/>
      <c r="F46" s="5"/>
      <c r="G46" s="5"/>
      <c r="H46" s="5"/>
    </row>
    <row r="47" spans="1:9" ht="15.5" x14ac:dyDescent="0.35">
      <c r="A47" s="45" t="s">
        <v>310</v>
      </c>
      <c r="B47" s="5"/>
      <c r="C47" s="5"/>
      <c r="D47" s="5"/>
      <c r="E47" s="5"/>
      <c r="F47" s="5"/>
      <c r="G47" s="5"/>
      <c r="H47" s="5"/>
    </row>
    <row r="48" spans="1:9" ht="243" customHeight="1" x14ac:dyDescent="0.35">
      <c r="A48" s="182" t="s">
        <v>75</v>
      </c>
      <c r="B48" s="27"/>
      <c r="C48" s="27"/>
      <c r="D48" s="27"/>
      <c r="E48" s="27"/>
      <c r="F48" s="27"/>
      <c r="G48" s="27"/>
      <c r="H48" s="27"/>
    </row>
  </sheetData>
  <conditionalFormatting sqref="F7:H13 F30:F32 F14:F26 G14:H14 G20:H23 G26:H26 G30:H30 G33:H37 G39:H39 F42:F44">
    <cfRule type="dataBar" priority="28">
      <dataBar>
        <cfvo type="num" val="0"/>
        <cfvo type="num" val="1"/>
        <color rgb="FFB4A9D4"/>
      </dataBar>
      <extLst>
        <ext xmlns:x14="http://schemas.microsoft.com/office/spreadsheetml/2009/9/main" uri="{B025F937-C7B1-47D3-B67F-A62EFF666E3E}">
          <x14:id>{64BFE17C-84DE-4099-A18F-0B86CA9157A9}</x14:id>
        </ext>
      </extLst>
    </cfRule>
  </conditionalFormatting>
  <conditionalFormatting sqref="F27:F29">
    <cfRule type="dataBar" priority="27">
      <dataBar>
        <cfvo type="num" val="0"/>
        <cfvo type="num" val="1"/>
        <color rgb="FFB4A9D4"/>
      </dataBar>
      <extLst>
        <ext xmlns:x14="http://schemas.microsoft.com/office/spreadsheetml/2009/9/main" uri="{B025F937-C7B1-47D3-B67F-A62EFF666E3E}">
          <x14:id>{CBDFBFBC-8AD0-4511-A7D2-71A79C6A7854}</x14:id>
        </ext>
      </extLst>
    </cfRule>
  </conditionalFormatting>
  <conditionalFormatting sqref="F33:F41">
    <cfRule type="dataBar" priority="19">
      <dataBar>
        <cfvo type="num" val="0"/>
        <cfvo type="num" val="1"/>
        <color rgb="FFB4A9D4"/>
      </dataBar>
      <extLst>
        <ext xmlns:x14="http://schemas.microsoft.com/office/spreadsheetml/2009/9/main" uri="{B025F937-C7B1-47D3-B67F-A62EFF666E3E}">
          <x14:id>{9F899091-C5E4-4B19-BCAD-B115B17BF0B9}</x14:id>
        </ext>
      </extLst>
    </cfRule>
  </conditionalFormatting>
  <conditionalFormatting sqref="H17">
    <cfRule type="dataBar" priority="18">
      <dataBar>
        <cfvo type="num" val="0"/>
        <cfvo type="num" val="1"/>
        <color rgb="FFB4A9D4"/>
      </dataBar>
      <extLst>
        <ext xmlns:x14="http://schemas.microsoft.com/office/spreadsheetml/2009/9/main" uri="{B025F937-C7B1-47D3-B67F-A62EFF666E3E}">
          <x14:id>{ED09C6DA-B385-4878-9F5C-EAB975A6BEAB}</x14:id>
        </ext>
      </extLst>
    </cfRule>
  </conditionalFormatting>
  <conditionalFormatting sqref="H18">
    <cfRule type="dataBar" priority="17">
      <dataBar>
        <cfvo type="num" val="0"/>
        <cfvo type="num" val="1"/>
        <color rgb="FFB4A9D4"/>
      </dataBar>
      <extLst>
        <ext xmlns:x14="http://schemas.microsoft.com/office/spreadsheetml/2009/9/main" uri="{B025F937-C7B1-47D3-B67F-A62EFF666E3E}">
          <x14:id>{220FD72A-9CE9-4BCB-8363-9F9CADCAB9DA}</x14:id>
        </ext>
      </extLst>
    </cfRule>
  </conditionalFormatting>
  <conditionalFormatting sqref="H24">
    <cfRule type="dataBar" priority="16">
      <dataBar>
        <cfvo type="num" val="0"/>
        <cfvo type="num" val="1"/>
        <color rgb="FFB4A9D4"/>
      </dataBar>
      <extLst>
        <ext xmlns:x14="http://schemas.microsoft.com/office/spreadsheetml/2009/9/main" uri="{B025F937-C7B1-47D3-B67F-A62EFF666E3E}">
          <x14:id>{CCCDB9DF-9A11-4437-9B84-12AC898F5332}</x14:id>
        </ext>
      </extLst>
    </cfRule>
  </conditionalFormatting>
  <conditionalFormatting sqref="H25">
    <cfRule type="dataBar" priority="15">
      <dataBar>
        <cfvo type="num" val="0"/>
        <cfvo type="num" val="1"/>
        <color rgb="FFB4A9D4"/>
      </dataBar>
      <extLst>
        <ext xmlns:x14="http://schemas.microsoft.com/office/spreadsheetml/2009/9/main" uri="{B025F937-C7B1-47D3-B67F-A62EFF666E3E}">
          <x14:id>{73334591-8BC5-4135-B0B7-056633F7A68C}</x14:id>
        </ext>
      </extLst>
    </cfRule>
  </conditionalFormatting>
  <conditionalFormatting sqref="H27:H29">
    <cfRule type="dataBar" priority="14">
      <dataBar>
        <cfvo type="num" val="0"/>
        <cfvo type="num" val="1"/>
        <color rgb="FFB4A9D4"/>
      </dataBar>
      <extLst>
        <ext xmlns:x14="http://schemas.microsoft.com/office/spreadsheetml/2009/9/main" uri="{B025F937-C7B1-47D3-B67F-A62EFF666E3E}">
          <x14:id>{B8476E41-8490-4CD6-A8ED-D83D6A621AA2}</x14:id>
        </ext>
      </extLst>
    </cfRule>
  </conditionalFormatting>
  <conditionalFormatting sqref="H31">
    <cfRule type="dataBar" priority="11">
      <dataBar>
        <cfvo type="num" val="0"/>
        <cfvo type="num" val="1"/>
        <color rgb="FFB4A9D4"/>
      </dataBar>
      <extLst>
        <ext xmlns:x14="http://schemas.microsoft.com/office/spreadsheetml/2009/9/main" uri="{B025F937-C7B1-47D3-B67F-A62EFF666E3E}">
          <x14:id>{06A2CB10-FF63-4595-995E-4FC6ABD9B220}</x14:id>
        </ext>
      </extLst>
    </cfRule>
  </conditionalFormatting>
  <conditionalFormatting sqref="H32">
    <cfRule type="dataBar" priority="10">
      <dataBar>
        <cfvo type="num" val="0"/>
        <cfvo type="num" val="1"/>
        <color rgb="FFB4A9D4"/>
      </dataBar>
      <extLst>
        <ext xmlns:x14="http://schemas.microsoft.com/office/spreadsheetml/2009/9/main" uri="{B025F937-C7B1-47D3-B67F-A62EFF666E3E}">
          <x14:id>{A57514EA-FE32-4950-8B2A-4A7A3AF7DC35}</x14:id>
        </ext>
      </extLst>
    </cfRule>
  </conditionalFormatting>
  <conditionalFormatting sqref="H38">
    <cfRule type="dataBar" priority="9">
      <dataBar>
        <cfvo type="num" val="0"/>
        <cfvo type="num" val="1"/>
        <color rgb="FFB4A9D4"/>
      </dataBar>
      <extLst>
        <ext xmlns:x14="http://schemas.microsoft.com/office/spreadsheetml/2009/9/main" uri="{B025F937-C7B1-47D3-B67F-A62EFF666E3E}">
          <x14:id>{1EFA2EB6-6DA5-4EA3-847C-26E1DE0DABB9}</x14:id>
        </ext>
      </extLst>
    </cfRule>
  </conditionalFormatting>
  <conditionalFormatting sqref="H42">
    <cfRule type="dataBar" priority="7">
      <dataBar>
        <cfvo type="num" val="0"/>
        <cfvo type="num" val="1"/>
        <color rgb="FFB4A9D4"/>
      </dataBar>
      <extLst>
        <ext xmlns:x14="http://schemas.microsoft.com/office/spreadsheetml/2009/9/main" uri="{B025F937-C7B1-47D3-B67F-A62EFF666E3E}">
          <x14:id>{A25B4320-42EF-4EFE-8B86-E57A66209F99}</x14:id>
        </ext>
      </extLst>
    </cfRule>
  </conditionalFormatting>
  <conditionalFormatting sqref="H43">
    <cfRule type="dataBar" priority="6">
      <dataBar>
        <cfvo type="num" val="0"/>
        <cfvo type="num" val="1"/>
        <color rgb="FFB4A9D4"/>
      </dataBar>
      <extLst>
        <ext xmlns:x14="http://schemas.microsoft.com/office/spreadsheetml/2009/9/main" uri="{B025F937-C7B1-47D3-B67F-A62EFF666E3E}">
          <x14:id>{C8D9F4DB-E5F2-4159-AC27-A13C11F3D6DB}</x14:id>
        </ext>
      </extLst>
    </cfRule>
  </conditionalFormatting>
  <conditionalFormatting sqref="H44">
    <cfRule type="dataBar" priority="5">
      <dataBar>
        <cfvo type="num" val="0"/>
        <cfvo type="num" val="1"/>
        <color rgb="FFB4A9D4"/>
      </dataBar>
      <extLst>
        <ext xmlns:x14="http://schemas.microsoft.com/office/spreadsheetml/2009/9/main" uri="{B025F937-C7B1-47D3-B67F-A62EFF666E3E}">
          <x14:id>{F78A67AE-20B0-4527-B839-CCFB55CB50C9}</x14:id>
        </ext>
      </extLst>
    </cfRule>
  </conditionalFormatting>
  <conditionalFormatting sqref="H40:H41">
    <cfRule type="dataBar" priority="4">
      <dataBar>
        <cfvo type="num" val="0"/>
        <cfvo type="num" val="1"/>
        <color rgb="FFB4A9D4"/>
      </dataBar>
      <extLst>
        <ext xmlns:x14="http://schemas.microsoft.com/office/spreadsheetml/2009/9/main" uri="{B025F937-C7B1-47D3-B67F-A62EFF666E3E}">
          <x14:id>{F8AA9551-AF5B-4F38-95E6-700C4417DE6D}</x14:id>
        </ext>
      </extLst>
    </cfRule>
  </conditionalFormatting>
  <conditionalFormatting sqref="G19">
    <cfRule type="dataBar" priority="3">
      <dataBar>
        <cfvo type="num" val="0"/>
        <cfvo type="num" val="1"/>
        <color rgb="FFB4A9D4"/>
      </dataBar>
      <extLst>
        <ext xmlns:x14="http://schemas.microsoft.com/office/spreadsheetml/2009/9/main" uri="{B025F937-C7B1-47D3-B67F-A62EFF666E3E}">
          <x14:id>{5215E26E-CAAF-472C-AA0E-76D41A5BE0E4}</x14:id>
        </ext>
      </extLst>
    </cfRule>
  </conditionalFormatting>
  <conditionalFormatting sqref="G43">
    <cfRule type="dataBar" priority="2">
      <dataBar>
        <cfvo type="num" val="0"/>
        <cfvo type="num" val="1"/>
        <color rgb="FFB4A9D4"/>
      </dataBar>
      <extLst>
        <ext xmlns:x14="http://schemas.microsoft.com/office/spreadsheetml/2009/9/main" uri="{B025F937-C7B1-47D3-B67F-A62EFF666E3E}">
          <x14:id>{284554B6-D589-4325-A5A1-4F1C3CB4E973}</x14:id>
        </ext>
      </extLst>
    </cfRule>
  </conditionalFormatting>
  <conditionalFormatting sqref="H16">
    <cfRule type="dataBar" priority="1">
      <dataBar>
        <cfvo type="num" val="0"/>
        <cfvo type="num" val="1"/>
        <color rgb="FFB4A9D4"/>
      </dataBar>
      <extLst>
        <ext xmlns:x14="http://schemas.microsoft.com/office/spreadsheetml/2009/9/main" uri="{B025F937-C7B1-47D3-B67F-A62EFF666E3E}">
          <x14:id>{AC52FD59-A0F8-4500-9323-4733AEA82E95}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BFE17C-84DE-4099-A18F-0B86CA9157A9}">
            <x14:dataBar minLength="0" maxLength="100" gradient="0">
              <x14:cfvo type="num">
                <xm:f>0</xm:f>
              </x14:cfvo>
              <x14:cfvo type="num">
                <xm:f>1</xm:f>
              </x14:cfvo>
              <x14:negativeFillColor rgb="FFFF0000"/>
              <x14:axisColor rgb="FF000000"/>
            </x14:dataBar>
          </x14:cfRule>
          <xm:sqref>F7:H13 F30:F32 F14:F26 G14:H14 G20:H23 G26:H26 G30:H30 G33:H37 G39:H39 F42:F44</xm:sqref>
        </x14:conditionalFormatting>
        <x14:conditionalFormatting xmlns:xm="http://schemas.microsoft.com/office/excel/2006/main">
          <x14:cfRule type="dataBar" id="{CBDFBFBC-8AD0-4511-A7D2-71A79C6A7854}">
            <x14:dataBar minLength="0" maxLength="100" gradient="0">
              <x14:cfvo type="num">
                <xm:f>0</xm:f>
              </x14:cfvo>
              <x14:cfvo type="num">
                <xm:f>1</xm:f>
              </x14:cfvo>
              <x14:negativeFillColor rgb="FFFF0000"/>
              <x14:axisColor rgb="FF000000"/>
            </x14:dataBar>
          </x14:cfRule>
          <xm:sqref>F27:F29</xm:sqref>
        </x14:conditionalFormatting>
        <x14:conditionalFormatting xmlns:xm="http://schemas.microsoft.com/office/excel/2006/main">
          <x14:cfRule type="dataBar" id="{9F899091-C5E4-4B19-BCAD-B115B17BF0B9}">
            <x14:dataBar minLength="0" maxLength="100" gradient="0">
              <x14:cfvo type="num">
                <xm:f>0</xm:f>
              </x14:cfvo>
              <x14:cfvo type="num">
                <xm:f>1</xm:f>
              </x14:cfvo>
              <x14:negativeFillColor rgb="FFFF0000"/>
              <x14:axisColor rgb="FF000000"/>
            </x14:dataBar>
          </x14:cfRule>
          <xm:sqref>F33:F41</xm:sqref>
        </x14:conditionalFormatting>
        <x14:conditionalFormatting xmlns:xm="http://schemas.microsoft.com/office/excel/2006/main">
          <x14:cfRule type="dataBar" id="{ED09C6DA-B385-4878-9F5C-EAB975A6BEAB}">
            <x14:dataBar minLength="0" maxLength="100" gradient="0">
              <x14:cfvo type="num">
                <xm:f>0</xm:f>
              </x14:cfvo>
              <x14:cfvo type="num">
                <xm:f>1</xm:f>
              </x14:cfvo>
              <x14:negativeFillColor rgb="FFFF0000"/>
              <x14:axisColor rgb="FF000000"/>
            </x14:dataBar>
          </x14:cfRule>
          <xm:sqref>H17</xm:sqref>
        </x14:conditionalFormatting>
        <x14:conditionalFormatting xmlns:xm="http://schemas.microsoft.com/office/excel/2006/main">
          <x14:cfRule type="dataBar" id="{220FD72A-9CE9-4BCB-8363-9F9CADCAB9DA}">
            <x14:dataBar minLength="0" maxLength="100" gradient="0">
              <x14:cfvo type="num">
                <xm:f>0</xm:f>
              </x14:cfvo>
              <x14:cfvo type="num">
                <xm:f>1</xm:f>
              </x14:cfvo>
              <x14:negativeFillColor rgb="FFFF0000"/>
              <x14:axisColor rgb="FF000000"/>
            </x14:dataBar>
          </x14:cfRule>
          <xm:sqref>H18</xm:sqref>
        </x14:conditionalFormatting>
        <x14:conditionalFormatting xmlns:xm="http://schemas.microsoft.com/office/excel/2006/main">
          <x14:cfRule type="dataBar" id="{CCCDB9DF-9A11-4437-9B84-12AC898F5332}">
            <x14:dataBar minLength="0" maxLength="100" gradient="0">
              <x14:cfvo type="num">
                <xm:f>0</xm:f>
              </x14:cfvo>
              <x14:cfvo type="num">
                <xm:f>1</xm:f>
              </x14:cfvo>
              <x14:negativeFillColor rgb="FFFF0000"/>
              <x14:axisColor rgb="FF000000"/>
            </x14:dataBar>
          </x14:cfRule>
          <xm:sqref>H24</xm:sqref>
        </x14:conditionalFormatting>
        <x14:conditionalFormatting xmlns:xm="http://schemas.microsoft.com/office/excel/2006/main">
          <x14:cfRule type="dataBar" id="{73334591-8BC5-4135-B0B7-056633F7A68C}">
            <x14:dataBar minLength="0" maxLength="100" gradient="0">
              <x14:cfvo type="num">
                <xm:f>0</xm:f>
              </x14:cfvo>
              <x14:cfvo type="num">
                <xm:f>1</xm:f>
              </x14:cfvo>
              <x14:negativeFillColor rgb="FFFF0000"/>
              <x14:axisColor rgb="FF000000"/>
            </x14:dataBar>
          </x14:cfRule>
          <xm:sqref>H25</xm:sqref>
        </x14:conditionalFormatting>
        <x14:conditionalFormatting xmlns:xm="http://schemas.microsoft.com/office/excel/2006/main">
          <x14:cfRule type="dataBar" id="{B8476E41-8490-4CD6-A8ED-D83D6A621AA2}">
            <x14:dataBar minLength="0" maxLength="100" gradient="0">
              <x14:cfvo type="num">
                <xm:f>0</xm:f>
              </x14:cfvo>
              <x14:cfvo type="num">
                <xm:f>1</xm:f>
              </x14:cfvo>
              <x14:negativeFillColor rgb="FFFF0000"/>
              <x14:axisColor rgb="FF000000"/>
            </x14:dataBar>
          </x14:cfRule>
          <xm:sqref>H27:H29</xm:sqref>
        </x14:conditionalFormatting>
        <x14:conditionalFormatting xmlns:xm="http://schemas.microsoft.com/office/excel/2006/main">
          <x14:cfRule type="dataBar" id="{06A2CB10-FF63-4595-995E-4FC6ABD9B220}">
            <x14:dataBar minLength="0" maxLength="100" gradient="0">
              <x14:cfvo type="num">
                <xm:f>0</xm:f>
              </x14:cfvo>
              <x14:cfvo type="num">
                <xm:f>1</xm:f>
              </x14:cfvo>
              <x14:negativeFillColor rgb="FFFF0000"/>
              <x14:axisColor rgb="FF000000"/>
            </x14:dataBar>
          </x14:cfRule>
          <xm:sqref>H31</xm:sqref>
        </x14:conditionalFormatting>
        <x14:conditionalFormatting xmlns:xm="http://schemas.microsoft.com/office/excel/2006/main">
          <x14:cfRule type="dataBar" id="{A57514EA-FE32-4950-8B2A-4A7A3AF7DC35}">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1EFA2EB6-6DA5-4EA3-847C-26E1DE0DABB9}">
            <x14:dataBar minLength="0" maxLength="100" gradient="0">
              <x14:cfvo type="num">
                <xm:f>0</xm:f>
              </x14:cfvo>
              <x14:cfvo type="num">
                <xm:f>1</xm:f>
              </x14:cfvo>
              <x14:negativeFillColor rgb="FFFF0000"/>
              <x14:axisColor rgb="FF000000"/>
            </x14:dataBar>
          </x14:cfRule>
          <xm:sqref>H38</xm:sqref>
        </x14:conditionalFormatting>
        <x14:conditionalFormatting xmlns:xm="http://schemas.microsoft.com/office/excel/2006/main">
          <x14:cfRule type="dataBar" id="{A25B4320-42EF-4EFE-8B86-E57A66209F99}">
            <x14:dataBar minLength="0" maxLength="100" gradient="0">
              <x14:cfvo type="num">
                <xm:f>0</xm:f>
              </x14:cfvo>
              <x14:cfvo type="num">
                <xm:f>1</xm:f>
              </x14:cfvo>
              <x14:negativeFillColor rgb="FFFF0000"/>
              <x14:axisColor rgb="FF000000"/>
            </x14:dataBar>
          </x14:cfRule>
          <xm:sqref>H42</xm:sqref>
        </x14:conditionalFormatting>
        <x14:conditionalFormatting xmlns:xm="http://schemas.microsoft.com/office/excel/2006/main">
          <x14:cfRule type="dataBar" id="{C8D9F4DB-E5F2-4159-AC27-A13C11F3D6DB}">
            <x14:dataBar minLength="0" maxLength="100" gradient="0">
              <x14:cfvo type="num">
                <xm:f>0</xm:f>
              </x14:cfvo>
              <x14:cfvo type="num">
                <xm:f>1</xm:f>
              </x14:cfvo>
              <x14:negativeFillColor rgb="FFFF0000"/>
              <x14:axisColor rgb="FF000000"/>
            </x14:dataBar>
          </x14:cfRule>
          <xm:sqref>H43</xm:sqref>
        </x14:conditionalFormatting>
        <x14:conditionalFormatting xmlns:xm="http://schemas.microsoft.com/office/excel/2006/main">
          <x14:cfRule type="dataBar" id="{F78A67AE-20B0-4527-B839-CCFB55CB50C9}">
            <x14:dataBar minLength="0" maxLength="100" gradient="0">
              <x14:cfvo type="num">
                <xm:f>0</xm:f>
              </x14:cfvo>
              <x14:cfvo type="num">
                <xm:f>1</xm:f>
              </x14:cfvo>
              <x14:negativeFillColor rgb="FFFF0000"/>
              <x14:axisColor rgb="FF000000"/>
            </x14:dataBar>
          </x14:cfRule>
          <xm:sqref>H44</xm:sqref>
        </x14:conditionalFormatting>
        <x14:conditionalFormatting xmlns:xm="http://schemas.microsoft.com/office/excel/2006/main">
          <x14:cfRule type="dataBar" id="{F8AA9551-AF5B-4F38-95E6-700C4417DE6D}">
            <x14:dataBar minLength="0" maxLength="100" gradient="0">
              <x14:cfvo type="num">
                <xm:f>0</xm:f>
              </x14:cfvo>
              <x14:cfvo type="num">
                <xm:f>1</xm:f>
              </x14:cfvo>
              <x14:negativeFillColor rgb="FFFF0000"/>
              <x14:axisColor rgb="FF000000"/>
            </x14:dataBar>
          </x14:cfRule>
          <xm:sqref>H40:H41</xm:sqref>
        </x14:conditionalFormatting>
        <x14:conditionalFormatting xmlns:xm="http://schemas.microsoft.com/office/excel/2006/main">
          <x14:cfRule type="dataBar" id="{5215E26E-CAAF-472C-AA0E-76D41A5BE0E4}">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284554B6-D589-4325-A5A1-4F1C3CB4E973}">
            <x14:dataBar minLength="0" maxLength="100" gradient="0">
              <x14:cfvo type="num">
                <xm:f>0</xm:f>
              </x14:cfvo>
              <x14:cfvo type="num">
                <xm:f>1</xm:f>
              </x14:cfvo>
              <x14:negativeFillColor rgb="FFFF0000"/>
              <x14:axisColor rgb="FF000000"/>
            </x14:dataBar>
          </x14:cfRule>
          <xm:sqref>G43</xm:sqref>
        </x14:conditionalFormatting>
        <x14:conditionalFormatting xmlns:xm="http://schemas.microsoft.com/office/excel/2006/main">
          <x14:cfRule type="dataBar" id="{AC52FD59-A0F8-4500-9323-4733AEA82E95}">
            <x14:dataBar minLength="0" maxLength="100" gradient="0">
              <x14:cfvo type="num">
                <xm:f>0</xm:f>
              </x14:cfvo>
              <x14:cfvo type="num">
                <xm:f>1</xm:f>
              </x14:cfvo>
              <x14:negativeFillColor rgb="FFFF0000"/>
              <x14:axisColor rgb="FF000000"/>
            </x14:dataBar>
          </x14:cfRule>
          <xm:sqref>H16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C9" sqref="C9"/>
    </sheetView>
  </sheetViews>
  <sheetFormatPr defaultRowHeight="14.5" x14ac:dyDescent="0.35"/>
  <cols>
    <col min="1" max="1" width="27.54296875" customWidth="1"/>
    <col min="2" max="2" width="20.54296875" customWidth="1"/>
    <col min="3" max="3" width="18.453125" customWidth="1"/>
    <col min="4" max="4" width="21.453125" customWidth="1"/>
    <col min="5" max="5" width="15.7265625" customWidth="1"/>
    <col min="6" max="6" width="15.81640625" customWidth="1"/>
    <col min="7" max="7" width="16.453125" customWidth="1"/>
    <col min="8" max="8" width="14.1796875" customWidth="1"/>
    <col min="9" max="9" width="13" customWidth="1"/>
    <col min="10" max="10" width="14.1796875" customWidth="1"/>
  </cols>
  <sheetData>
    <row r="1" spans="1:11" ht="21" x14ac:dyDescent="0.5">
      <c r="A1" s="99" t="s">
        <v>29</v>
      </c>
    </row>
    <row r="2" spans="1:11" ht="15.5" x14ac:dyDescent="0.35">
      <c r="A2" s="30" t="s">
        <v>314</v>
      </c>
    </row>
    <row r="3" spans="1:11" ht="15.5" x14ac:dyDescent="0.35">
      <c r="A3" s="26" t="s">
        <v>292</v>
      </c>
    </row>
    <row r="4" spans="1:11" ht="15.5" x14ac:dyDescent="0.35">
      <c r="A4" s="132" t="s">
        <v>300</v>
      </c>
    </row>
    <row r="5" spans="1:11" ht="15.5" x14ac:dyDescent="0.35">
      <c r="A5" s="132" t="s">
        <v>301</v>
      </c>
    </row>
    <row r="6" spans="1:11" ht="15.5" x14ac:dyDescent="0.35">
      <c r="A6" s="26" t="s">
        <v>305</v>
      </c>
      <c r="D6" s="13"/>
    </row>
    <row r="7" spans="1:11" ht="15.5" x14ac:dyDescent="0.35">
      <c r="A7" s="31" t="s">
        <v>77</v>
      </c>
      <c r="B7" s="32" t="s">
        <v>78</v>
      </c>
      <c r="D7" s="13"/>
    </row>
    <row r="8" spans="1:11" ht="62" x14ac:dyDescent="0.35">
      <c r="A8" s="112" t="s">
        <v>400</v>
      </c>
      <c r="B8" s="100" t="s">
        <v>28</v>
      </c>
      <c r="C8" s="100" t="s">
        <v>113</v>
      </c>
      <c r="D8" s="100" t="s">
        <v>398</v>
      </c>
      <c r="E8" s="17" t="s">
        <v>62</v>
      </c>
      <c r="F8" s="19" t="s">
        <v>63</v>
      </c>
      <c r="G8" s="17" t="s">
        <v>64</v>
      </c>
      <c r="H8" s="19" t="s">
        <v>65</v>
      </c>
      <c r="I8" s="17" t="s">
        <v>66</v>
      </c>
      <c r="J8" s="19" t="s">
        <v>67</v>
      </c>
    </row>
    <row r="9" spans="1:11" ht="15.5" x14ac:dyDescent="0.35">
      <c r="A9" s="174" t="str">
        <f xml:space="preserve"> "Total " &amp;$B$7</f>
        <v>Total All time</v>
      </c>
      <c r="B9" s="106">
        <f>VLOOKUP($A9, 'Table 3 Full data'!$A$2:$J$1000, 2, FALSE)</f>
        <v>11490</v>
      </c>
      <c r="C9" s="175">
        <f>VLOOKUP($A9, 'Table 3 Full data'!$A$2:$J$1000, 3, FALSE)</f>
        <v>1</v>
      </c>
      <c r="D9" s="106">
        <f>VLOOKUP($A9, 'Table 3 Full data'!$A$2:$J$1000, 4, FALSE)</f>
        <v>10930</v>
      </c>
      <c r="E9" s="106">
        <f>VLOOKUP($A9, 'Table 3 Full data'!$A$2:$J$1000, 5, FALSE)</f>
        <v>7595</v>
      </c>
      <c r="F9" s="106">
        <f>VLOOKUP($A9, 'Table 3 Full data'!$A$2:$J$1000, 6, FALSE)</f>
        <v>3100</v>
      </c>
      <c r="G9" s="106">
        <f>VLOOKUP($A9, 'Table 3 Full data'!$A$2:$J$1000, 7, FALSE)</f>
        <v>235</v>
      </c>
      <c r="H9" s="175">
        <f>VLOOKUP($A9, 'Table 3 Full data'!$A$2:$J$1000, 8, FALSE)</f>
        <v>0.69</v>
      </c>
      <c r="I9" s="175">
        <f>VLOOKUP($A9, 'Table 3 Full data'!$A$2:$J$1000, 9, FALSE)</f>
        <v>0.28000000000000003</v>
      </c>
      <c r="J9" s="176">
        <f>VLOOKUP($A9, 'Table 3 Full data'!$A$2:$J$1000, 10, FALSE)</f>
        <v>0.02</v>
      </c>
    </row>
    <row r="10" spans="1:11" ht="15.5" x14ac:dyDescent="0.35">
      <c r="A10" s="45" t="str">
        <f xml:space="preserve"> "16 years " &amp;$B$7</f>
        <v>16 years All time</v>
      </c>
      <c r="B10" s="108">
        <f>VLOOKUP($A10, 'Table 3 Full data'!$A$2:$J$1000, 2, FALSE)</f>
        <v>4020</v>
      </c>
      <c r="C10" s="177">
        <f>VLOOKUP($A10, 'Table 3 Full data'!$A$2:$J$1000, 3, FALSE)</f>
        <v>0.35</v>
      </c>
      <c r="D10" s="108">
        <f>VLOOKUP($A10, 'Table 3 Full data'!$A$2:$J$1000, 4, FALSE)</f>
        <v>3815</v>
      </c>
      <c r="E10" s="108">
        <f>VLOOKUP($A10, 'Table 3 Full data'!$A$2:$J$1000, 5, FALSE)</f>
        <v>2920</v>
      </c>
      <c r="F10" s="108">
        <f>VLOOKUP($A10, 'Table 3 Full data'!$A$2:$J$1000, 6, FALSE)</f>
        <v>865</v>
      </c>
      <c r="G10" s="108">
        <f>VLOOKUP($A10, 'Table 3 Full data'!$A$2:$J$1000, 7, FALSE)</f>
        <v>35</v>
      </c>
      <c r="H10" s="177">
        <f>VLOOKUP($A10, 'Table 3 Full data'!$A$2:$J$1000, 8, FALSE)</f>
        <v>0.76</v>
      </c>
      <c r="I10" s="177">
        <f>VLOOKUP($A10, 'Table 3 Full data'!$A$2:$J$1000, 9, FALSE)</f>
        <v>0.23</v>
      </c>
      <c r="J10" s="98">
        <f>VLOOKUP($A10, 'Table 3 Full data'!$A$2:$J$1000, 10, FALSE)</f>
        <v>0.01</v>
      </c>
    </row>
    <row r="11" spans="1:11" ht="15.5" x14ac:dyDescent="0.35">
      <c r="A11" s="45" t="str">
        <f xml:space="preserve"> "17 years " &amp;$B$7</f>
        <v>17 years All time</v>
      </c>
      <c r="B11" s="108">
        <f>VLOOKUP($A11, 'Table 3 Full data'!$A$2:$J$1000, 2, FALSE)</f>
        <v>4330</v>
      </c>
      <c r="C11" s="98">
        <f>VLOOKUP($A11, 'Table 3 Full data'!$A$2:$J$1000, 3, FALSE)</f>
        <v>0.38</v>
      </c>
      <c r="D11" s="108">
        <f>VLOOKUP($A11, 'Table 3 Full data'!$A$2:$J$1000, 4, FALSE)</f>
        <v>4145</v>
      </c>
      <c r="E11" s="108">
        <f>VLOOKUP($A11, 'Table 3 Full data'!$A$2:$J$1000, 5, FALSE)</f>
        <v>2845</v>
      </c>
      <c r="F11" s="108">
        <f>VLOOKUP($A11, 'Table 3 Full data'!$A$2:$J$1000, 6, FALSE)</f>
        <v>1215</v>
      </c>
      <c r="G11" s="108">
        <f>VLOOKUP($A11, 'Table 3 Full data'!$A$2:$J$1000, 7, FALSE)</f>
        <v>85</v>
      </c>
      <c r="H11" s="98">
        <f>VLOOKUP($A11, 'Table 3 Full data'!$A$2:$J$1000, 8, FALSE)</f>
        <v>0.69</v>
      </c>
      <c r="I11" s="98">
        <f>VLOOKUP($A11, 'Table 3 Full data'!$A$2:$J$1000, 9, FALSE)</f>
        <v>0.28999999999999998</v>
      </c>
      <c r="J11" s="98">
        <f>VLOOKUP($A11, 'Table 3 Full data'!$A$2:$J$1000, 10, FALSE)</f>
        <v>0.02</v>
      </c>
    </row>
    <row r="12" spans="1:11" ht="15.5" x14ac:dyDescent="0.35">
      <c r="A12" s="45" t="str">
        <f xml:space="preserve"> "18 years " &amp;$B$7</f>
        <v>18 years All time</v>
      </c>
      <c r="B12" s="108">
        <f>VLOOKUP($A12, 'Table 3 Full data'!$A$2:$J$1000, 2, FALSE)</f>
        <v>2850</v>
      </c>
      <c r="C12" s="98">
        <f>VLOOKUP($A12, 'Table 3 Full data'!$A$2:$J$1000, 3, FALSE)</f>
        <v>0.25</v>
      </c>
      <c r="D12" s="108">
        <f>VLOOKUP($A12, 'Table 3 Full data'!$A$2:$J$1000, 4, FALSE)</f>
        <v>2710</v>
      </c>
      <c r="E12" s="108">
        <f>VLOOKUP($A12, 'Table 3 Full data'!$A$2:$J$1000, 5, FALSE)</f>
        <v>1830</v>
      </c>
      <c r="F12" s="108">
        <f>VLOOKUP($A12, 'Table 3 Full data'!$A$2:$J$1000, 6, FALSE)</f>
        <v>795</v>
      </c>
      <c r="G12" s="108">
        <f>VLOOKUP($A12, 'Table 3 Full data'!$A$2:$J$1000, 7, FALSE)</f>
        <v>85</v>
      </c>
      <c r="H12" s="98">
        <f>VLOOKUP($A12, 'Table 3 Full data'!$A$2:$J$1000, 8, FALSE)</f>
        <v>0.68</v>
      </c>
      <c r="I12" s="98">
        <f>VLOOKUP($A12, 'Table 3 Full data'!$A$2:$J$1000, 9, FALSE)</f>
        <v>0.28999999999999998</v>
      </c>
      <c r="J12" s="98">
        <f>VLOOKUP($A12, 'Table 3 Full data'!$A$2:$J$1000, 10, FALSE)</f>
        <v>0.03</v>
      </c>
    </row>
    <row r="13" spans="1:11" ht="15.5" x14ac:dyDescent="0.35">
      <c r="A13" s="45" t="str">
        <f xml:space="preserve"> "Other " &amp;$B$7</f>
        <v>Other All time</v>
      </c>
      <c r="B13" s="108">
        <f>VLOOKUP($A13, 'Table 3 Full data'!$A$2:$J$1000, 2, FALSE)</f>
        <v>290</v>
      </c>
      <c r="C13" s="178">
        <f>VLOOKUP($A13, 'Table 3 Full data'!$A$2:$J$1000, 3, FALSE)</f>
        <v>0.03</v>
      </c>
      <c r="D13" s="108">
        <f>VLOOKUP($A13, 'Table 3 Full data'!$A$2:$J$1000, 4, FALSE)</f>
        <v>260</v>
      </c>
      <c r="E13" s="108" t="str">
        <f>VLOOKUP($A13, 'Table 3 Full data'!$A$2:$J$1000, 5, FALSE)</f>
        <v>[c]</v>
      </c>
      <c r="F13" s="108">
        <f>VLOOKUP($A13, 'Table 3 Full data'!$A$2:$J$1000, 6, FALSE)</f>
        <v>225</v>
      </c>
      <c r="G13" s="108">
        <f>VLOOKUP($A13, 'Table 3 Full data'!$A$2:$J$1000, 7, FALSE)</f>
        <v>35</v>
      </c>
      <c r="H13" s="179" t="str">
        <f>VLOOKUP($A13, 'Table 3 Full data'!$A$2:$J$1000, 8, FALSE)</f>
        <v>[c]</v>
      </c>
      <c r="I13" s="178">
        <f>VLOOKUP($A13, 'Table 3 Full data'!$A$2:$J$1000, 9, FALSE)</f>
        <v>0.87</v>
      </c>
      <c r="J13" s="98" t="str">
        <f>VLOOKUP($A13, 'Table 3 Full data'!$A$2:$J$1000, 10, FALSE)</f>
        <v>[c]</v>
      </c>
    </row>
    <row r="14" spans="1:11" ht="15.75" customHeight="1" x14ac:dyDescent="0.35">
      <c r="A14" s="45" t="s">
        <v>8</v>
      </c>
      <c r="B14" s="3"/>
      <c r="C14" s="3"/>
      <c r="D14" s="3"/>
      <c r="E14" s="3"/>
      <c r="F14" s="3"/>
      <c r="G14" s="3"/>
      <c r="H14" s="3"/>
      <c r="I14" s="3"/>
      <c r="J14" s="3"/>
      <c r="K14" s="14"/>
    </row>
    <row r="15" spans="1:11" ht="15.75" customHeight="1" x14ac:dyDescent="0.35">
      <c r="A15" s="45" t="s">
        <v>92</v>
      </c>
      <c r="B15" s="5"/>
      <c r="C15" s="29"/>
      <c r="D15" s="5"/>
      <c r="E15" s="5"/>
      <c r="F15" s="5"/>
      <c r="G15" s="5"/>
      <c r="H15" s="5"/>
      <c r="I15" s="5"/>
      <c r="J15" s="5"/>
      <c r="K15" s="5"/>
    </row>
    <row r="16" spans="1:11" ht="15.75" customHeight="1" x14ac:dyDescent="0.35">
      <c r="A16" s="147" t="s">
        <v>76</v>
      </c>
      <c r="B16" s="14"/>
      <c r="C16" s="14"/>
      <c r="D16" s="14"/>
      <c r="E16" s="14"/>
      <c r="F16" s="14"/>
      <c r="G16" s="14"/>
      <c r="H16" s="14"/>
      <c r="I16" s="14"/>
      <c r="J16" s="14"/>
      <c r="K16" s="14"/>
    </row>
    <row r="17" spans="1:1" ht="193.5" customHeight="1" x14ac:dyDescent="0.35">
      <c r="A17" s="182" t="s">
        <v>413</v>
      </c>
    </row>
    <row r="18" spans="1:1" ht="15.5" x14ac:dyDescent="0.35">
      <c r="A18" s="45" t="s">
        <v>399</v>
      </c>
    </row>
  </sheetData>
  <conditionalFormatting sqref="C9:C13">
    <cfRule type="dataBar" priority="3">
      <dataBar>
        <cfvo type="num" val="0"/>
        <cfvo type="num" val="1"/>
        <color rgb="FFB4A9D4"/>
      </dataBar>
      <extLst>
        <ext xmlns:x14="http://schemas.microsoft.com/office/spreadsheetml/2009/9/main" uri="{B025F937-C7B1-47D3-B67F-A62EFF666E3E}">
          <x14:id>{524F495E-A4C9-4CF1-B10D-EBDB8702E96F}</x14:id>
        </ext>
      </extLst>
    </cfRule>
  </conditionalFormatting>
  <conditionalFormatting sqref="H9:I13">
    <cfRule type="dataBar" priority="2">
      <dataBar>
        <cfvo type="num" val="0"/>
        <cfvo type="num" val="1"/>
        <color rgb="FFB4A9D4"/>
      </dataBar>
      <extLst>
        <ext xmlns:x14="http://schemas.microsoft.com/office/spreadsheetml/2009/9/main" uri="{B025F937-C7B1-47D3-B67F-A62EFF666E3E}">
          <x14:id>{91794581-4B0F-4D79-B958-A2368EB712BD}</x14:id>
        </ext>
      </extLst>
    </cfRule>
  </conditionalFormatting>
  <conditionalFormatting sqref="J9:J13">
    <cfRule type="dataBar" priority="1">
      <dataBar>
        <cfvo type="num" val="0"/>
        <cfvo type="num" val="1"/>
        <color rgb="FFB4A9D4"/>
      </dataBar>
      <extLst>
        <ext xmlns:x14="http://schemas.microsoft.com/office/spreadsheetml/2009/9/main" uri="{B025F937-C7B1-47D3-B67F-A62EFF666E3E}">
          <x14:id>{DA4AD5F3-56F4-45F8-A295-73C9B6DA5850}</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4F495E-A4C9-4CF1-B10D-EBDB8702E96F}">
            <x14:dataBar minLength="0" maxLength="100" gradient="0">
              <x14:cfvo type="num">
                <xm:f>0</xm:f>
              </x14:cfvo>
              <x14:cfvo type="num">
                <xm:f>1</xm:f>
              </x14:cfvo>
              <x14:negativeFillColor rgb="FFFF0000"/>
              <x14:axisColor rgb="FF000000"/>
            </x14:dataBar>
          </x14:cfRule>
          <xm:sqref>C9:C13</xm:sqref>
        </x14:conditionalFormatting>
        <x14:conditionalFormatting xmlns:xm="http://schemas.microsoft.com/office/excel/2006/main">
          <x14:cfRule type="dataBar" id="{91794581-4B0F-4D79-B958-A2368EB712BD}">
            <x14:dataBar minLength="0" maxLength="100" gradient="0">
              <x14:cfvo type="num">
                <xm:f>0</xm:f>
              </x14:cfvo>
              <x14:cfvo type="num">
                <xm:f>1</xm:f>
              </x14:cfvo>
              <x14:negativeFillColor rgb="FFFF0000"/>
              <x14:axisColor rgb="FF000000"/>
            </x14:dataBar>
          </x14:cfRule>
          <xm:sqref>H9:I13</xm:sqref>
        </x14:conditionalFormatting>
        <x14:conditionalFormatting xmlns:xm="http://schemas.microsoft.com/office/excel/2006/main">
          <x14:cfRule type="dataBar" id="{DA4AD5F3-56F4-45F8-A295-73C9B6DA5850}">
            <x14:dataBar minLength="0" maxLength="100" gradient="0">
              <x14:cfvo type="num">
                <xm:f>0</xm:f>
              </x14:cfvo>
              <x14:cfvo type="num">
                <xm:f>1</xm:f>
              </x14:cfvo>
              <x14:negativeFillColor rgb="FFFF0000"/>
              <x14:axisColor rgb="FF000000"/>
            </x14:dataBar>
          </x14:cfRule>
          <xm:sqref>J9:J13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Full data'!$L$2:$L$6</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sheetViews>
  <sheetFormatPr defaultRowHeight="14.5" x14ac:dyDescent="0.35"/>
  <cols>
    <col min="1" max="1" width="40.26953125" customWidth="1"/>
    <col min="2" max="2" width="20.7265625" customWidth="1"/>
    <col min="3" max="3" width="18" customWidth="1"/>
    <col min="4" max="4" width="15.7265625" customWidth="1"/>
    <col min="5" max="5" width="15.1796875" customWidth="1"/>
    <col min="6" max="6" width="13.54296875" customWidth="1"/>
    <col min="7" max="7" width="13.1796875" customWidth="1"/>
    <col min="8" max="8" width="13.453125" customWidth="1"/>
    <col min="9" max="9" width="13.81640625" customWidth="1"/>
    <col min="10" max="10" width="14.81640625" customWidth="1"/>
    <col min="12" max="12" width="9.26953125" bestFit="1" customWidth="1"/>
  </cols>
  <sheetData>
    <row r="1" spans="1:16" ht="21" x14ac:dyDescent="0.5">
      <c r="A1" s="125" t="s">
        <v>21</v>
      </c>
    </row>
    <row r="2" spans="1:16" ht="15.5" x14ac:dyDescent="0.35">
      <c r="A2" s="30" t="s">
        <v>315</v>
      </c>
    </row>
    <row r="3" spans="1:16" ht="15.5" x14ac:dyDescent="0.35">
      <c r="A3" s="26" t="s">
        <v>293</v>
      </c>
    </row>
    <row r="4" spans="1:16" ht="15.5" x14ac:dyDescent="0.35">
      <c r="A4" s="132" t="s">
        <v>300</v>
      </c>
    </row>
    <row r="5" spans="1:16" ht="15.5" x14ac:dyDescent="0.35">
      <c r="A5" s="132" t="s">
        <v>301</v>
      </c>
    </row>
    <row r="6" spans="1:16" ht="15.5" x14ac:dyDescent="0.35">
      <c r="A6" s="26" t="s">
        <v>306</v>
      </c>
    </row>
    <row r="7" spans="1:16" ht="15.5" x14ac:dyDescent="0.35">
      <c r="A7" s="114" t="s">
        <v>77</v>
      </c>
      <c r="B7" s="32" t="s">
        <v>78</v>
      </c>
      <c r="C7" s="61"/>
      <c r="D7" s="30"/>
      <c r="E7" s="30"/>
      <c r="F7" s="30"/>
      <c r="G7" s="30"/>
      <c r="H7" s="30"/>
      <c r="I7" s="30"/>
      <c r="J7" s="30"/>
      <c r="K7" s="30"/>
      <c r="L7" s="30"/>
      <c r="M7" s="30"/>
      <c r="N7" s="30"/>
      <c r="O7" s="30"/>
      <c r="P7" s="30"/>
    </row>
    <row r="8" spans="1:16" ht="62" x14ac:dyDescent="0.35">
      <c r="A8" s="35" t="s">
        <v>419</v>
      </c>
      <c r="B8" s="16" t="s">
        <v>60</v>
      </c>
      <c r="C8" s="16" t="s">
        <v>61</v>
      </c>
      <c r="D8" s="19" t="s">
        <v>420</v>
      </c>
      <c r="E8" s="17" t="s">
        <v>62</v>
      </c>
      <c r="F8" s="19" t="s">
        <v>65</v>
      </c>
      <c r="G8" s="30"/>
      <c r="H8" s="30"/>
      <c r="I8" s="30"/>
      <c r="J8" s="30"/>
      <c r="K8" s="30"/>
      <c r="L8" s="30"/>
    </row>
    <row r="9" spans="1:16" ht="15.5" x14ac:dyDescent="0.35">
      <c r="A9" s="62" t="str">
        <f xml:space="preserve"> "Total " &amp;$B$7</f>
        <v>Total All time</v>
      </c>
      <c r="B9" s="106">
        <f>VLOOKUP($A9, 'Table 4 Full data'!$A$2:$F$1005, 2, FALSE)</f>
        <v>11490</v>
      </c>
      <c r="C9" s="64">
        <f>VLOOKUP($A9, 'Table 4 Full data'!$A$2:$F$1005, 3, FALSE)</f>
        <v>1</v>
      </c>
      <c r="D9" s="106">
        <f>VLOOKUP($A9, 'Table 4 Full data'!$A$2:$F$1005, 4, FALSE)</f>
        <v>10930</v>
      </c>
      <c r="E9" s="106">
        <f>VLOOKUP($A9, 'Table 4 Full data'!$A$2:$F$1005, 5, FALSE)</f>
        <v>7595</v>
      </c>
      <c r="F9" s="64">
        <f>VLOOKUP($A9, 'Table 4 Full data'!$A$2:$F$1005, 6, FALSE)</f>
        <v>0.69</v>
      </c>
      <c r="G9" s="30"/>
      <c r="H9" s="30"/>
      <c r="I9" s="30"/>
      <c r="J9" s="30"/>
      <c r="K9" s="139"/>
      <c r="L9" s="140"/>
    </row>
    <row r="10" spans="1:16" ht="15.5" x14ac:dyDescent="0.35">
      <c r="A10" s="63" t="str">
        <f xml:space="preserve"> "Aberdeen City " &amp;$B$7</f>
        <v>Aberdeen City All time</v>
      </c>
      <c r="B10" s="108">
        <f>VLOOKUP($A10, 'Table 4 Full data'!$A$2:$F$1005, 2, FALSE)</f>
        <v>155</v>
      </c>
      <c r="C10" s="55">
        <f>VLOOKUP($A10, 'Table 4 Full data'!$A$2:$F$1005, 3, FALSE)</f>
        <v>0.01</v>
      </c>
      <c r="D10" s="108">
        <f>VLOOKUP($A10, 'Table 4 Full data'!$A$2:$F$1005, 4, FALSE)</f>
        <v>150</v>
      </c>
      <c r="E10" s="108">
        <f>VLOOKUP($A10, 'Table 4 Full data'!$A$2:$F$1005, 5, FALSE)</f>
        <v>105</v>
      </c>
      <c r="F10" s="55">
        <f>VLOOKUP($A10, 'Table 4 Full data'!$A$2:$F$1005, 6, FALSE)</f>
        <v>0.72</v>
      </c>
      <c r="G10" s="30"/>
      <c r="H10" s="30"/>
      <c r="I10" s="30"/>
      <c r="J10" s="30"/>
      <c r="K10" s="139"/>
      <c r="L10" s="30"/>
    </row>
    <row r="11" spans="1:16" ht="15.5" x14ac:dyDescent="0.35">
      <c r="A11" s="63" t="str">
        <f xml:space="preserve"> "Aberdeenshire " &amp;$B$7</f>
        <v>Aberdeenshire All time</v>
      </c>
      <c r="B11" s="108">
        <f>VLOOKUP($A11, 'Table 4 Full data'!$A$2:$F$1005, 2, FALSE)</f>
        <v>200</v>
      </c>
      <c r="C11" s="36">
        <f>VLOOKUP($A11, 'Table 4 Full data'!$A$2:$F$1005, 3, FALSE)</f>
        <v>0.02</v>
      </c>
      <c r="D11" s="108">
        <f>VLOOKUP($A11, 'Table 4 Full data'!$A$2:$F$1005, 4, FALSE)</f>
        <v>190</v>
      </c>
      <c r="E11" s="108">
        <f>VLOOKUP($A11, 'Table 4 Full data'!$A$2:$F$1005, 5, FALSE)</f>
        <v>130</v>
      </c>
      <c r="F11" s="36">
        <f>VLOOKUP($A11, 'Table 4 Full data'!$A$2:$F$1005, 6, FALSE)</f>
        <v>0.68</v>
      </c>
      <c r="G11" s="30"/>
      <c r="H11" s="30"/>
      <c r="I11" s="30"/>
      <c r="J11" s="30"/>
      <c r="K11" s="30"/>
      <c r="L11" s="30"/>
    </row>
    <row r="12" spans="1:16" ht="15.5" x14ac:dyDescent="0.35">
      <c r="A12" s="63" t="str">
        <f xml:space="preserve"> "Angus " &amp;$B$7</f>
        <v>Angus All time</v>
      </c>
      <c r="B12" s="108">
        <f>VLOOKUP($A12, 'Table 4 Full data'!$A$2:$F$1005, 2, FALSE)</f>
        <v>300</v>
      </c>
      <c r="C12" s="55">
        <f>VLOOKUP($A12, 'Table 4 Full data'!$A$2:$F$1005, 3, FALSE)</f>
        <v>0.03</v>
      </c>
      <c r="D12" s="108">
        <f>VLOOKUP($A12, 'Table 4 Full data'!$A$2:$F$1005, 4, FALSE)</f>
        <v>290</v>
      </c>
      <c r="E12" s="108">
        <f>VLOOKUP($A12, 'Table 4 Full data'!$A$2:$F$1005, 5, FALSE)</f>
        <v>210</v>
      </c>
      <c r="F12" s="55">
        <f>VLOOKUP($A12, 'Table 4 Full data'!$A$2:$F$1005, 6, FALSE)</f>
        <v>0.72</v>
      </c>
      <c r="G12" s="30"/>
      <c r="H12" s="30"/>
      <c r="I12" s="30"/>
      <c r="J12" s="30"/>
      <c r="K12" s="30"/>
      <c r="L12" s="30"/>
    </row>
    <row r="13" spans="1:16" ht="15.5" x14ac:dyDescent="0.35">
      <c r="A13" s="63" t="str">
        <f xml:space="preserve"> "Argyll and Bute " &amp;$B$7</f>
        <v>Argyll and Bute All time</v>
      </c>
      <c r="B13" s="108">
        <f>VLOOKUP($A13, 'Table 4 Full data'!$A$2:$F$1005, 2, FALSE)</f>
        <v>275</v>
      </c>
      <c r="C13" s="36">
        <f>VLOOKUP($A13, 'Table 4 Full data'!$A$2:$F$1005, 3, FALSE)</f>
        <v>0.02</v>
      </c>
      <c r="D13" s="108">
        <f>VLOOKUP($A13, 'Table 4 Full data'!$A$2:$F$1005, 4, FALSE)</f>
        <v>265</v>
      </c>
      <c r="E13" s="108">
        <f>VLOOKUP($A13, 'Table 4 Full data'!$A$2:$F$1005, 5, FALSE)</f>
        <v>185</v>
      </c>
      <c r="F13" s="36">
        <f>VLOOKUP($A13, 'Table 4 Full data'!$A$2:$F$1005, 6, FALSE)</f>
        <v>0.7</v>
      </c>
      <c r="G13" s="30"/>
      <c r="H13" s="30"/>
      <c r="I13" s="30"/>
      <c r="J13" s="30"/>
      <c r="K13" s="30"/>
      <c r="L13" s="30"/>
    </row>
    <row r="14" spans="1:16" ht="15.5" x14ac:dyDescent="0.35">
      <c r="A14" s="63" t="str">
        <f xml:space="preserve"> "Clackmannanshire " &amp;$B$7</f>
        <v>Clackmannanshire All time</v>
      </c>
      <c r="B14" s="108">
        <f>VLOOKUP($A14, 'Table 4 Full data'!$A$2:$F$1005, 2, FALSE)</f>
        <v>130</v>
      </c>
      <c r="C14" s="55">
        <f>VLOOKUP($A14, 'Table 4 Full data'!$A$2:$F$1005, 3, FALSE)</f>
        <v>0.01</v>
      </c>
      <c r="D14" s="108">
        <f>VLOOKUP($A14, 'Table 4 Full data'!$A$2:$F$1005, 4, FALSE)</f>
        <v>125</v>
      </c>
      <c r="E14" s="108">
        <f>VLOOKUP($A14, 'Table 4 Full data'!$A$2:$F$1005, 5, FALSE)</f>
        <v>90</v>
      </c>
      <c r="F14" s="55">
        <f>VLOOKUP($A14, 'Table 4 Full data'!$A$2:$F$1005, 6, FALSE)</f>
        <v>0.73</v>
      </c>
      <c r="G14" s="30"/>
      <c r="H14" s="30"/>
      <c r="I14" s="30"/>
      <c r="J14" s="30"/>
      <c r="K14" s="30"/>
      <c r="L14" s="30"/>
    </row>
    <row r="15" spans="1:16" ht="15.5" x14ac:dyDescent="0.35">
      <c r="A15" s="63" t="str">
        <f xml:space="preserve"> "Dumfries and Galloway " &amp;$B$7</f>
        <v>Dumfries and Galloway All time</v>
      </c>
      <c r="B15" s="108">
        <f>VLOOKUP($A15, 'Table 4 Full data'!$A$2:$F$1005, 2, FALSE)</f>
        <v>430</v>
      </c>
      <c r="C15" s="36">
        <f>VLOOKUP($A15, 'Table 4 Full data'!$A$2:$F$1005, 3, FALSE)</f>
        <v>0.04</v>
      </c>
      <c r="D15" s="108">
        <f>VLOOKUP($A15, 'Table 4 Full data'!$A$2:$F$1005, 4, FALSE)</f>
        <v>410</v>
      </c>
      <c r="E15" s="108">
        <f>VLOOKUP($A15, 'Table 4 Full data'!$A$2:$F$1005, 5, FALSE)</f>
        <v>270</v>
      </c>
      <c r="F15" s="36">
        <f>VLOOKUP($A15, 'Table 4 Full data'!$A$2:$F$1005, 6, FALSE)</f>
        <v>0.65</v>
      </c>
      <c r="G15" s="30"/>
      <c r="H15" s="30"/>
      <c r="I15" s="30"/>
      <c r="J15" s="30"/>
      <c r="K15" s="30"/>
      <c r="L15" s="30"/>
    </row>
    <row r="16" spans="1:16" ht="15.5" x14ac:dyDescent="0.35">
      <c r="A16" s="63" t="str">
        <f xml:space="preserve"> "Dundee City " &amp;$B$7</f>
        <v>Dundee City All time</v>
      </c>
      <c r="B16" s="108">
        <f>VLOOKUP($A16, 'Table 4 Full data'!$A$2:$F$1005, 2, FALSE)</f>
        <v>435</v>
      </c>
      <c r="C16" s="55">
        <f>VLOOKUP($A16, 'Table 4 Full data'!$A$2:$F$1005, 3, FALSE)</f>
        <v>0.04</v>
      </c>
      <c r="D16" s="108">
        <f>VLOOKUP($A16, 'Table 4 Full data'!$A$2:$F$1005, 4, FALSE)</f>
        <v>420</v>
      </c>
      <c r="E16" s="108">
        <f>VLOOKUP($A16, 'Table 4 Full data'!$A$2:$F$1005, 5, FALSE)</f>
        <v>290</v>
      </c>
      <c r="F16" s="55">
        <f>VLOOKUP($A16, 'Table 4 Full data'!$A$2:$F$1005, 6, FALSE)</f>
        <v>0.69</v>
      </c>
      <c r="G16" s="30"/>
      <c r="H16" s="30"/>
      <c r="I16" s="30"/>
      <c r="J16" s="30"/>
      <c r="K16" s="30"/>
      <c r="L16" s="30"/>
    </row>
    <row r="17" spans="1:12" ht="15.5" x14ac:dyDescent="0.35">
      <c r="A17" s="63" t="str">
        <f xml:space="preserve"> "East Ayrshire " &amp;$B$7</f>
        <v>East Ayrshire All time</v>
      </c>
      <c r="B17" s="108">
        <f>VLOOKUP($A17, 'Table 4 Full data'!$A$2:$F$1005, 2, FALSE)</f>
        <v>360</v>
      </c>
      <c r="C17" s="36">
        <f>VLOOKUP($A17, 'Table 4 Full data'!$A$2:$F$1005, 3, FALSE)</f>
        <v>0.03</v>
      </c>
      <c r="D17" s="108">
        <f>VLOOKUP($A17, 'Table 4 Full data'!$A$2:$F$1005, 4, FALSE)</f>
        <v>345</v>
      </c>
      <c r="E17" s="108">
        <f>VLOOKUP($A17, 'Table 4 Full data'!$A$2:$F$1005, 5, FALSE)</f>
        <v>245</v>
      </c>
      <c r="F17" s="36">
        <f>VLOOKUP($A17, 'Table 4 Full data'!$A$2:$F$1005, 6, FALSE)</f>
        <v>0.72</v>
      </c>
      <c r="G17" s="30"/>
      <c r="H17" s="30"/>
      <c r="I17" s="30"/>
      <c r="J17" s="30"/>
      <c r="K17" s="30"/>
      <c r="L17" s="30"/>
    </row>
    <row r="18" spans="1:12" ht="15.5" x14ac:dyDescent="0.35">
      <c r="A18" s="63" t="str">
        <f xml:space="preserve"> "East Dunbartonshire " &amp;$B$7</f>
        <v>East Dunbartonshire All time</v>
      </c>
      <c r="B18" s="108">
        <f>VLOOKUP($A18, 'Table 4 Full data'!$A$2:$F$1005, 2, FALSE)</f>
        <v>270</v>
      </c>
      <c r="C18" s="55">
        <f>VLOOKUP($A18, 'Table 4 Full data'!$A$2:$F$1005, 3, FALSE)</f>
        <v>0.02</v>
      </c>
      <c r="D18" s="108">
        <f>VLOOKUP($A18, 'Table 4 Full data'!$A$2:$F$1005, 4, FALSE)</f>
        <v>260</v>
      </c>
      <c r="E18" s="108">
        <f>VLOOKUP($A18, 'Table 4 Full data'!$A$2:$F$1005, 5, FALSE)</f>
        <v>180</v>
      </c>
      <c r="F18" s="55">
        <f>VLOOKUP($A18, 'Table 4 Full data'!$A$2:$F$1005, 6, FALSE)</f>
        <v>0.71</v>
      </c>
      <c r="G18" s="30"/>
      <c r="H18" s="30"/>
      <c r="I18" s="30"/>
      <c r="J18" s="30"/>
      <c r="K18" s="30"/>
      <c r="L18" s="30"/>
    </row>
    <row r="19" spans="1:12" ht="15.5" x14ac:dyDescent="0.35">
      <c r="A19" s="63" t="str">
        <f xml:space="preserve"> "East Lothian " &amp;$B$7</f>
        <v>East Lothian All time</v>
      </c>
      <c r="B19" s="108">
        <f>VLOOKUP($A19, 'Table 4 Full data'!$A$2:$F$1005, 2, FALSE)</f>
        <v>150</v>
      </c>
      <c r="C19" s="36">
        <f>VLOOKUP($A19, 'Table 4 Full data'!$A$2:$F$1005, 3, FALSE)</f>
        <v>0.01</v>
      </c>
      <c r="D19" s="108">
        <f>VLOOKUP($A19, 'Table 4 Full data'!$A$2:$F$1005, 4, FALSE)</f>
        <v>145</v>
      </c>
      <c r="E19" s="108">
        <f>VLOOKUP($A19, 'Table 4 Full data'!$A$2:$F$1005, 5, FALSE)</f>
        <v>105</v>
      </c>
      <c r="F19" s="36">
        <f>VLOOKUP($A19, 'Table 4 Full data'!$A$2:$F$1005, 6, FALSE)</f>
        <v>0.74</v>
      </c>
      <c r="G19" s="30"/>
      <c r="H19" s="30"/>
      <c r="I19" s="30"/>
      <c r="J19" s="30"/>
      <c r="K19" s="30"/>
      <c r="L19" s="30"/>
    </row>
    <row r="20" spans="1:12" ht="15.5" x14ac:dyDescent="0.35">
      <c r="A20" s="63" t="str">
        <f xml:space="preserve"> "East Renfrewshire " &amp;$B$7</f>
        <v>East Renfrewshire All time</v>
      </c>
      <c r="B20" s="108">
        <f>VLOOKUP($A20, 'Table 4 Full data'!$A$2:$F$1005, 2, FALSE)</f>
        <v>260</v>
      </c>
      <c r="C20" s="55">
        <f>VLOOKUP($A20, 'Table 4 Full data'!$A$2:$F$1005, 3, FALSE)</f>
        <v>0.02</v>
      </c>
      <c r="D20" s="108">
        <f>VLOOKUP($A20, 'Table 4 Full data'!$A$2:$F$1005, 4, FALSE)</f>
        <v>245</v>
      </c>
      <c r="E20" s="108">
        <f>VLOOKUP($A20, 'Table 4 Full data'!$A$2:$F$1005, 5, FALSE)</f>
        <v>175</v>
      </c>
      <c r="F20" s="55">
        <f>VLOOKUP($A20, 'Table 4 Full data'!$A$2:$F$1005, 6, FALSE)</f>
        <v>0.71</v>
      </c>
      <c r="G20" s="30"/>
      <c r="H20" s="30"/>
      <c r="I20" s="30"/>
      <c r="J20" s="30"/>
      <c r="K20" s="30"/>
      <c r="L20" s="30"/>
    </row>
    <row r="21" spans="1:12" ht="15.5" x14ac:dyDescent="0.35">
      <c r="A21" s="63" t="str">
        <f xml:space="preserve"> "Edinburgh, City of " &amp;$B$7</f>
        <v>Edinburgh, City of All time</v>
      </c>
      <c r="B21" s="108">
        <f>VLOOKUP($A21, 'Table 4 Full data'!$A$2:$F$1005, 2, FALSE)</f>
        <v>440</v>
      </c>
      <c r="C21" s="36">
        <f>VLOOKUP($A21, 'Table 4 Full data'!$A$2:$F$1005, 3, FALSE)</f>
        <v>0.04</v>
      </c>
      <c r="D21" s="108">
        <f>VLOOKUP($A21, 'Table 4 Full data'!$A$2:$F$1005, 4, FALSE)</f>
        <v>420</v>
      </c>
      <c r="E21" s="108">
        <f>VLOOKUP($A21, 'Table 4 Full data'!$A$2:$F$1005, 5, FALSE)</f>
        <v>285</v>
      </c>
      <c r="F21" s="36">
        <f>VLOOKUP($A21, 'Table 4 Full data'!$A$2:$F$1005, 6, FALSE)</f>
        <v>0.67</v>
      </c>
      <c r="G21" s="30"/>
      <c r="H21" s="30"/>
      <c r="I21" s="30"/>
      <c r="J21" s="30"/>
      <c r="K21" s="30"/>
      <c r="L21" s="30"/>
    </row>
    <row r="22" spans="1:12" ht="15.5" x14ac:dyDescent="0.35">
      <c r="A22" s="63" t="str">
        <f xml:space="preserve"> "Falkirk " &amp;$B$7</f>
        <v>Falkirk All time</v>
      </c>
      <c r="B22" s="108">
        <f>VLOOKUP($A22, 'Table 4 Full data'!$A$2:$F$1005, 2, FALSE)</f>
        <v>345</v>
      </c>
      <c r="C22" s="55">
        <f>VLOOKUP($A22, 'Table 4 Full data'!$A$2:$F$1005, 3, FALSE)</f>
        <v>0.03</v>
      </c>
      <c r="D22" s="108">
        <f>VLOOKUP($A22, 'Table 4 Full data'!$A$2:$F$1005, 4, FALSE)</f>
        <v>330</v>
      </c>
      <c r="E22" s="108">
        <f>VLOOKUP($A22, 'Table 4 Full data'!$A$2:$F$1005, 5, FALSE)</f>
        <v>240</v>
      </c>
      <c r="F22" s="55">
        <f>VLOOKUP($A22, 'Table 4 Full data'!$A$2:$F$1005, 6, FALSE)</f>
        <v>0.73</v>
      </c>
      <c r="G22" s="30"/>
      <c r="H22" s="30"/>
      <c r="I22" s="30"/>
      <c r="J22" s="30"/>
      <c r="K22" s="30"/>
      <c r="L22" s="30"/>
    </row>
    <row r="23" spans="1:12" ht="15.5" x14ac:dyDescent="0.35">
      <c r="A23" s="63" t="str">
        <f xml:space="preserve"> "Fife " &amp;$B$7</f>
        <v>Fife All time</v>
      </c>
      <c r="B23" s="108">
        <f>VLOOKUP($A23, 'Table 4 Full data'!$A$2:$F$1005, 2, FALSE)</f>
        <v>830</v>
      </c>
      <c r="C23" s="36">
        <f>VLOOKUP($A23, 'Table 4 Full data'!$A$2:$F$1005, 3, FALSE)</f>
        <v>7.0000000000000007E-2</v>
      </c>
      <c r="D23" s="108">
        <f>VLOOKUP($A23, 'Table 4 Full data'!$A$2:$F$1005, 4, FALSE)</f>
        <v>795</v>
      </c>
      <c r="E23" s="108">
        <f>VLOOKUP($A23, 'Table 4 Full data'!$A$2:$F$1005, 5, FALSE)</f>
        <v>550</v>
      </c>
      <c r="F23" s="36">
        <f>VLOOKUP($A23, 'Table 4 Full data'!$A$2:$F$1005, 6, FALSE)</f>
        <v>0.69</v>
      </c>
      <c r="G23" s="30"/>
      <c r="H23" s="30"/>
      <c r="I23" s="30"/>
      <c r="J23" s="30"/>
      <c r="K23" s="30"/>
      <c r="L23" s="30"/>
    </row>
    <row r="24" spans="1:12" ht="15.5" x14ac:dyDescent="0.35">
      <c r="A24" s="63" t="str">
        <f xml:space="preserve"> "Glasgow City " &amp;$B$7</f>
        <v>Glasgow City All time</v>
      </c>
      <c r="B24" s="108">
        <f>VLOOKUP($A24, 'Table 4 Full data'!$A$2:$F$1005, 2, FALSE)</f>
        <v>1730</v>
      </c>
      <c r="C24" s="55">
        <f>VLOOKUP($A24, 'Table 4 Full data'!$A$2:$F$1005, 3, FALSE)</f>
        <v>0.15</v>
      </c>
      <c r="D24" s="108">
        <f>VLOOKUP($A24, 'Table 4 Full data'!$A$2:$F$1005, 4, FALSE)</f>
        <v>1620</v>
      </c>
      <c r="E24" s="108">
        <f>VLOOKUP($A24, 'Table 4 Full data'!$A$2:$F$1005, 5, FALSE)</f>
        <v>1120</v>
      </c>
      <c r="F24" s="55">
        <f>VLOOKUP($A24, 'Table 4 Full data'!$A$2:$F$1005, 6, FALSE)</f>
        <v>0.69</v>
      </c>
      <c r="G24" s="30"/>
      <c r="H24" s="30"/>
      <c r="I24" s="30"/>
      <c r="J24" s="30"/>
      <c r="K24" s="30"/>
      <c r="L24" s="30"/>
    </row>
    <row r="25" spans="1:12" ht="15.5" x14ac:dyDescent="0.35">
      <c r="A25" s="63" t="str">
        <f xml:space="preserve"> "Highland " &amp;$B$7</f>
        <v>Highland All time</v>
      </c>
      <c r="B25" s="108">
        <f>VLOOKUP($A25, 'Table 4 Full data'!$A$2:$F$1005, 2, FALSE)</f>
        <v>410</v>
      </c>
      <c r="C25" s="36">
        <f>VLOOKUP($A25, 'Table 4 Full data'!$A$2:$F$1005, 3, FALSE)</f>
        <v>0.04</v>
      </c>
      <c r="D25" s="108">
        <f>VLOOKUP($A25, 'Table 4 Full data'!$A$2:$F$1005, 4, FALSE)</f>
        <v>390</v>
      </c>
      <c r="E25" s="108">
        <f>VLOOKUP($A25, 'Table 4 Full data'!$A$2:$F$1005, 5, FALSE)</f>
        <v>285</v>
      </c>
      <c r="F25" s="36">
        <f>VLOOKUP($A25, 'Table 4 Full data'!$A$2:$F$1005, 6, FALSE)</f>
        <v>0.72</v>
      </c>
      <c r="G25" s="30"/>
      <c r="H25" s="30"/>
      <c r="I25" s="30"/>
      <c r="J25" s="30"/>
      <c r="K25" s="30"/>
      <c r="L25" s="30"/>
    </row>
    <row r="26" spans="1:12" ht="15.5" x14ac:dyDescent="0.35">
      <c r="A26" s="63" t="str">
        <f xml:space="preserve"> "Inverclyde " &amp;$B$7</f>
        <v>Inverclyde All time</v>
      </c>
      <c r="B26" s="108">
        <f>VLOOKUP($A26, 'Table 4 Full data'!$A$2:$F$1005, 2, FALSE)</f>
        <v>375</v>
      </c>
      <c r="C26" s="55">
        <f>VLOOKUP($A26, 'Table 4 Full data'!$A$2:$F$1005, 3, FALSE)</f>
        <v>0.03</v>
      </c>
      <c r="D26" s="108">
        <f>VLOOKUP($A26, 'Table 4 Full data'!$A$2:$F$1005, 4, FALSE)</f>
        <v>360</v>
      </c>
      <c r="E26" s="108">
        <f>VLOOKUP($A26, 'Table 4 Full data'!$A$2:$F$1005, 5, FALSE)</f>
        <v>255</v>
      </c>
      <c r="F26" s="55">
        <f>VLOOKUP($A26, 'Table 4 Full data'!$A$2:$F$1005, 6, FALSE)</f>
        <v>0.71</v>
      </c>
      <c r="G26" s="30"/>
      <c r="H26" s="30"/>
      <c r="I26" s="30"/>
      <c r="J26" s="30"/>
      <c r="K26" s="30"/>
      <c r="L26" s="30"/>
    </row>
    <row r="27" spans="1:12" ht="15.5" x14ac:dyDescent="0.35">
      <c r="A27" s="63" t="str">
        <f xml:space="preserve"> "Midlothian " &amp;$B$7</f>
        <v>Midlothian All time</v>
      </c>
      <c r="B27" s="108">
        <f>VLOOKUP($A27, 'Table 4 Full data'!$A$2:$F$1005, 2, FALSE)</f>
        <v>200</v>
      </c>
      <c r="C27" s="36">
        <f>VLOOKUP($A27, 'Table 4 Full data'!$A$2:$F$1005, 3, FALSE)</f>
        <v>0.02</v>
      </c>
      <c r="D27" s="108">
        <f>VLOOKUP($A27, 'Table 4 Full data'!$A$2:$F$1005, 4, FALSE)</f>
        <v>185</v>
      </c>
      <c r="E27" s="108">
        <f>VLOOKUP($A27, 'Table 4 Full data'!$A$2:$F$1005, 5, FALSE)</f>
        <v>115</v>
      </c>
      <c r="F27" s="36">
        <f>VLOOKUP($A27, 'Table 4 Full data'!$A$2:$F$1005, 6, FALSE)</f>
        <v>0.62</v>
      </c>
      <c r="G27" s="30"/>
      <c r="H27" s="30"/>
      <c r="I27" s="30"/>
      <c r="J27" s="30"/>
      <c r="K27" s="30"/>
      <c r="L27" s="30"/>
    </row>
    <row r="28" spans="1:12" ht="15.5" x14ac:dyDescent="0.35">
      <c r="A28" s="63" t="str">
        <f xml:space="preserve"> "Moray " &amp;$B$7</f>
        <v>Moray All time</v>
      </c>
      <c r="B28" s="108">
        <f>VLOOKUP($A28, 'Table 4 Full data'!$A$2:$F$1005, 2, FALSE)</f>
        <v>110</v>
      </c>
      <c r="C28" s="55">
        <f>VLOOKUP($A28, 'Table 4 Full data'!$A$2:$F$1005, 3, FALSE)</f>
        <v>0.01</v>
      </c>
      <c r="D28" s="108">
        <f>VLOOKUP($A28, 'Table 4 Full data'!$A$2:$F$1005, 4, FALSE)</f>
        <v>100</v>
      </c>
      <c r="E28" s="108">
        <f>VLOOKUP($A28, 'Table 4 Full data'!$A$2:$F$1005, 5, FALSE)</f>
        <v>70</v>
      </c>
      <c r="F28" s="55">
        <f>VLOOKUP($A28, 'Table 4 Full data'!$A$2:$F$1005, 6, FALSE)</f>
        <v>0.69</v>
      </c>
      <c r="G28" s="30"/>
      <c r="H28" s="30"/>
      <c r="I28" s="30"/>
      <c r="J28" s="30"/>
      <c r="K28" s="30"/>
      <c r="L28" s="30"/>
    </row>
    <row r="29" spans="1:12" ht="15.5" x14ac:dyDescent="0.35">
      <c r="A29" s="63" t="str">
        <f xml:space="preserve"> "Na h-Eileanan Siar " &amp;$B$7</f>
        <v>Na h-Eileanan Siar All time</v>
      </c>
      <c r="B29" s="108">
        <f>VLOOKUP($A29, 'Table 4 Full data'!$A$2:$F$1005, 2, FALSE)</f>
        <v>40</v>
      </c>
      <c r="C29" s="36">
        <f>VLOOKUP($A29, 'Table 4 Full data'!$A$2:$F$1005, 3, FALSE)</f>
        <v>0</v>
      </c>
      <c r="D29" s="108">
        <f>VLOOKUP($A29, 'Table 4 Full data'!$A$2:$F$1005, 4, FALSE)</f>
        <v>40</v>
      </c>
      <c r="E29" s="108">
        <f>VLOOKUP($A29, 'Table 4 Full data'!$A$2:$F$1005, 5, FALSE)</f>
        <v>25</v>
      </c>
      <c r="F29" s="36">
        <f>VLOOKUP($A29, 'Table 4 Full data'!$A$2:$F$1005, 6, FALSE)</f>
        <v>0.66</v>
      </c>
      <c r="G29" s="30"/>
      <c r="H29" s="30"/>
      <c r="I29" s="30"/>
      <c r="J29" s="30"/>
      <c r="K29" s="30"/>
      <c r="L29" s="30"/>
    </row>
    <row r="30" spans="1:12" ht="15.5" x14ac:dyDescent="0.35">
      <c r="A30" s="63" t="str">
        <f xml:space="preserve"> "North Ayrshire " &amp;$B$7</f>
        <v>North Ayrshire All time</v>
      </c>
      <c r="B30" s="108">
        <f>VLOOKUP($A30, 'Table 4 Full data'!$A$2:$F$1005, 2, FALSE)</f>
        <v>440</v>
      </c>
      <c r="C30" s="55">
        <f>VLOOKUP($A30, 'Table 4 Full data'!$A$2:$F$1005, 3, FALSE)</f>
        <v>0.04</v>
      </c>
      <c r="D30" s="108">
        <f>VLOOKUP($A30, 'Table 4 Full data'!$A$2:$F$1005, 4, FALSE)</f>
        <v>420</v>
      </c>
      <c r="E30" s="108">
        <f>VLOOKUP($A30, 'Table 4 Full data'!$A$2:$F$1005, 5, FALSE)</f>
        <v>285</v>
      </c>
      <c r="F30" s="55">
        <f>VLOOKUP($A30, 'Table 4 Full data'!$A$2:$F$1005, 6, FALSE)</f>
        <v>0.68</v>
      </c>
      <c r="G30" s="30"/>
      <c r="H30" s="30"/>
      <c r="I30" s="30"/>
      <c r="J30" s="30"/>
      <c r="K30" s="30"/>
      <c r="L30" s="30"/>
    </row>
    <row r="31" spans="1:12" ht="15.5" x14ac:dyDescent="0.35">
      <c r="A31" s="63" t="str">
        <f xml:space="preserve"> "North Lanarkshire " &amp;$B$7</f>
        <v>North Lanarkshire All time</v>
      </c>
      <c r="B31" s="108">
        <f>VLOOKUP($A31, 'Table 4 Full data'!$A$2:$F$1005, 2, FALSE)</f>
        <v>900</v>
      </c>
      <c r="C31" s="36">
        <f>VLOOKUP($A31, 'Table 4 Full data'!$A$2:$F$1005, 3, FALSE)</f>
        <v>0.08</v>
      </c>
      <c r="D31" s="108">
        <f>VLOOKUP($A31, 'Table 4 Full data'!$A$2:$F$1005, 4, FALSE)</f>
        <v>870</v>
      </c>
      <c r="E31" s="108">
        <f>VLOOKUP($A31, 'Table 4 Full data'!$A$2:$F$1005, 5, FALSE)</f>
        <v>615</v>
      </c>
      <c r="F31" s="36">
        <f>VLOOKUP($A31, 'Table 4 Full data'!$A$2:$F$1005, 6, FALSE)</f>
        <v>0.71</v>
      </c>
      <c r="G31" s="30"/>
      <c r="H31" s="30"/>
      <c r="I31" s="30"/>
      <c r="J31" s="30"/>
      <c r="K31" s="30"/>
      <c r="L31" s="30"/>
    </row>
    <row r="32" spans="1:12" ht="15.5" x14ac:dyDescent="0.35">
      <c r="A32" s="63" t="str">
        <f xml:space="preserve"> "Orkney Islands " &amp;$B$7</f>
        <v>Orkney Islands All time</v>
      </c>
      <c r="B32" s="108">
        <f>VLOOKUP($A32, 'Table 4 Full data'!$A$2:$F$1005, 2, FALSE)</f>
        <v>15</v>
      </c>
      <c r="C32" s="55">
        <f>VLOOKUP($A32, 'Table 4 Full data'!$A$2:$F$1005, 3, FALSE)</f>
        <v>0</v>
      </c>
      <c r="D32" s="108">
        <f>VLOOKUP($A32, 'Table 4 Full data'!$A$2:$F$1005, 4, FALSE)</f>
        <v>15</v>
      </c>
      <c r="E32" s="108">
        <f>VLOOKUP($A32, 'Table 4 Full data'!$A$2:$F$1005, 5, FALSE)</f>
        <v>10</v>
      </c>
      <c r="F32" s="55">
        <f>VLOOKUP($A32, 'Table 4 Full data'!$A$2:$F$1005, 6, FALSE)</f>
        <v>0.85</v>
      </c>
      <c r="G32" s="30"/>
      <c r="H32" s="30"/>
      <c r="I32" s="30"/>
      <c r="J32" s="30"/>
      <c r="K32" s="30"/>
      <c r="L32" s="30"/>
    </row>
    <row r="33" spans="1:12" ht="15.5" x14ac:dyDescent="0.35">
      <c r="A33" s="63" t="str">
        <f xml:space="preserve"> "Perth and Kinross " &amp;$B$7</f>
        <v>Perth and Kinross All time</v>
      </c>
      <c r="B33" s="108">
        <f>VLOOKUP($A33, 'Table 4 Full data'!$A$2:$F$1005, 2, FALSE)</f>
        <v>335</v>
      </c>
      <c r="C33" s="36">
        <f>VLOOKUP($A33, 'Table 4 Full data'!$A$2:$F$1005, 3, FALSE)</f>
        <v>0.03</v>
      </c>
      <c r="D33" s="108">
        <f>VLOOKUP($A33, 'Table 4 Full data'!$A$2:$F$1005, 4, FALSE)</f>
        <v>315</v>
      </c>
      <c r="E33" s="108">
        <f>VLOOKUP($A33, 'Table 4 Full data'!$A$2:$F$1005, 5, FALSE)</f>
        <v>225</v>
      </c>
      <c r="F33" s="36">
        <f>VLOOKUP($A33, 'Table 4 Full data'!$A$2:$F$1005, 6, FALSE)</f>
        <v>0.71</v>
      </c>
      <c r="G33" s="30"/>
      <c r="H33" s="30"/>
      <c r="I33" s="30"/>
      <c r="J33" s="30"/>
      <c r="K33" s="30"/>
      <c r="L33" s="30"/>
    </row>
    <row r="34" spans="1:12" ht="15.5" x14ac:dyDescent="0.35">
      <c r="A34" s="63" t="str">
        <f xml:space="preserve"> "Renfrewshire " &amp;$B$7</f>
        <v>Renfrewshire All time</v>
      </c>
      <c r="B34" s="108">
        <f>VLOOKUP($A34, 'Table 4 Full data'!$A$2:$F$1005, 2, FALSE)</f>
        <v>430</v>
      </c>
      <c r="C34" s="55">
        <f>VLOOKUP($A34, 'Table 4 Full data'!$A$2:$F$1005, 3, FALSE)</f>
        <v>0.04</v>
      </c>
      <c r="D34" s="108">
        <f>VLOOKUP($A34, 'Table 4 Full data'!$A$2:$F$1005, 4, FALSE)</f>
        <v>415</v>
      </c>
      <c r="E34" s="108">
        <f>VLOOKUP($A34, 'Table 4 Full data'!$A$2:$F$1005, 5, FALSE)</f>
        <v>295</v>
      </c>
      <c r="F34" s="55">
        <f>VLOOKUP($A34, 'Table 4 Full data'!$A$2:$F$1005, 6, FALSE)</f>
        <v>0.71</v>
      </c>
      <c r="G34" s="30"/>
      <c r="H34" s="30"/>
      <c r="I34" s="30"/>
      <c r="J34" s="30"/>
      <c r="K34" s="30"/>
      <c r="L34" s="30"/>
    </row>
    <row r="35" spans="1:12" ht="15.5" x14ac:dyDescent="0.35">
      <c r="A35" s="63" t="str">
        <f xml:space="preserve"> "Scottish Borders " &amp;$B$7</f>
        <v>Scottish Borders All time</v>
      </c>
      <c r="B35" s="108">
        <f>VLOOKUP($A35, 'Table 4 Full data'!$A$2:$F$1005, 2, FALSE)</f>
        <v>125</v>
      </c>
      <c r="C35" s="36">
        <f>VLOOKUP($A35, 'Table 4 Full data'!$A$2:$F$1005, 3, FALSE)</f>
        <v>0.01</v>
      </c>
      <c r="D35" s="108">
        <f>VLOOKUP($A35, 'Table 4 Full data'!$A$2:$F$1005, 4, FALSE)</f>
        <v>120</v>
      </c>
      <c r="E35" s="108">
        <f>VLOOKUP($A35, 'Table 4 Full data'!$A$2:$F$1005, 5, FALSE)</f>
        <v>80</v>
      </c>
      <c r="F35" s="36">
        <f>VLOOKUP($A35, 'Table 4 Full data'!$A$2:$F$1005, 6, FALSE)</f>
        <v>0.68</v>
      </c>
      <c r="G35" s="30"/>
      <c r="H35" s="30"/>
      <c r="I35" s="30"/>
      <c r="J35" s="30"/>
      <c r="K35" s="30"/>
      <c r="L35" s="30"/>
    </row>
    <row r="36" spans="1:12" ht="15.5" x14ac:dyDescent="0.35">
      <c r="A36" s="63" t="str">
        <f xml:space="preserve"> "Shetland Islands " &amp;$B$7</f>
        <v>Shetland Islands All time</v>
      </c>
      <c r="B36" s="108">
        <f>VLOOKUP($A36, 'Table 4 Full data'!$A$2:$F$1005, 2, FALSE)</f>
        <v>30</v>
      </c>
      <c r="C36" s="55">
        <f>VLOOKUP($A36, 'Table 4 Full data'!$A$2:$F$1005, 3, FALSE)</f>
        <v>0</v>
      </c>
      <c r="D36" s="108">
        <f>VLOOKUP($A36, 'Table 4 Full data'!$A$2:$F$1005, 4, FALSE)</f>
        <v>25</v>
      </c>
      <c r="E36" s="108">
        <f>VLOOKUP($A36, 'Table 4 Full data'!$A$2:$F$1005, 5, FALSE)</f>
        <v>20</v>
      </c>
      <c r="F36" s="55">
        <f>VLOOKUP($A36, 'Table 4 Full data'!$A$2:$F$1005, 6, FALSE)</f>
        <v>0.81</v>
      </c>
      <c r="G36" s="30"/>
      <c r="H36" s="30"/>
      <c r="I36" s="30"/>
      <c r="J36" s="30"/>
      <c r="K36" s="30"/>
      <c r="L36" s="30"/>
    </row>
    <row r="37" spans="1:12" ht="15.5" x14ac:dyDescent="0.35">
      <c r="A37" s="63" t="str">
        <f xml:space="preserve"> "South Ayrshire " &amp;$B$7</f>
        <v>South Ayrshire All time</v>
      </c>
      <c r="B37" s="108">
        <f>VLOOKUP($A37, 'Table 4 Full data'!$A$2:$F$1005, 2, FALSE)</f>
        <v>210</v>
      </c>
      <c r="C37" s="36">
        <f>VLOOKUP($A37, 'Table 4 Full data'!$A$2:$F$1005, 3, FALSE)</f>
        <v>0.02</v>
      </c>
      <c r="D37" s="108">
        <f>VLOOKUP($A37, 'Table 4 Full data'!$A$2:$F$1005, 4, FALSE)</f>
        <v>200</v>
      </c>
      <c r="E37" s="108">
        <f>VLOOKUP($A37, 'Table 4 Full data'!$A$2:$F$1005, 5, FALSE)</f>
        <v>150</v>
      </c>
      <c r="F37" s="36">
        <f>VLOOKUP($A37, 'Table 4 Full data'!$A$2:$F$1005, 6, FALSE)</f>
        <v>0.76</v>
      </c>
      <c r="G37" s="30"/>
      <c r="H37" s="30"/>
      <c r="I37" s="30"/>
      <c r="J37" s="30"/>
      <c r="K37" s="30"/>
      <c r="L37" s="30"/>
    </row>
    <row r="38" spans="1:12" ht="15.5" x14ac:dyDescent="0.35">
      <c r="A38" s="63" t="str">
        <f xml:space="preserve"> "South Lanarkshire " &amp;$B$7</f>
        <v>South Lanarkshire All time</v>
      </c>
      <c r="B38" s="108">
        <f>VLOOKUP($A38, 'Table 4 Full data'!$A$2:$F$1005, 2, FALSE)</f>
        <v>640</v>
      </c>
      <c r="C38" s="55">
        <f>VLOOKUP($A38, 'Table 4 Full data'!$A$2:$F$1005, 3, FALSE)</f>
        <v>0.06</v>
      </c>
      <c r="D38" s="108">
        <f>VLOOKUP($A38, 'Table 4 Full data'!$A$2:$F$1005, 4, FALSE)</f>
        <v>605</v>
      </c>
      <c r="E38" s="108">
        <f>VLOOKUP($A38, 'Table 4 Full data'!$A$2:$F$1005, 5, FALSE)</f>
        <v>410</v>
      </c>
      <c r="F38" s="55">
        <f>VLOOKUP($A38, 'Table 4 Full data'!$A$2:$F$1005, 6, FALSE)</f>
        <v>0.68</v>
      </c>
      <c r="G38" s="30"/>
      <c r="H38" s="30"/>
      <c r="I38" s="30"/>
      <c r="J38" s="30"/>
      <c r="K38" s="30"/>
      <c r="L38" s="30"/>
    </row>
    <row r="39" spans="1:12" ht="15.5" x14ac:dyDescent="0.35">
      <c r="A39" s="63" t="str">
        <f xml:space="preserve"> "Stirling " &amp;$B$7</f>
        <v>Stirling All time</v>
      </c>
      <c r="B39" s="108">
        <f>VLOOKUP($A39, 'Table 4 Full data'!$A$2:$F$1005, 2, FALSE)</f>
        <v>190</v>
      </c>
      <c r="C39" s="36">
        <f>VLOOKUP($A39, 'Table 4 Full data'!$A$2:$F$1005, 3, FALSE)</f>
        <v>0.02</v>
      </c>
      <c r="D39" s="108">
        <f>VLOOKUP($A39, 'Table 4 Full data'!$A$2:$F$1005, 4, FALSE)</f>
        <v>180</v>
      </c>
      <c r="E39" s="108">
        <f>VLOOKUP($A39, 'Table 4 Full data'!$A$2:$F$1005, 5, FALSE)</f>
        <v>120</v>
      </c>
      <c r="F39" s="36">
        <f>VLOOKUP($A39, 'Table 4 Full data'!$A$2:$F$1005, 6, FALSE)</f>
        <v>0.67</v>
      </c>
      <c r="G39" s="30"/>
      <c r="H39" s="30"/>
      <c r="I39" s="30"/>
      <c r="J39" s="30"/>
      <c r="K39" s="30"/>
      <c r="L39" s="30"/>
    </row>
    <row r="40" spans="1:12" ht="15.5" x14ac:dyDescent="0.35">
      <c r="A40" s="63" t="str">
        <f xml:space="preserve"> "West Dunbartonshire " &amp;$B$7</f>
        <v>West Dunbartonshire All time</v>
      </c>
      <c r="B40" s="108">
        <f>VLOOKUP($A40, 'Table 4 Full data'!$A$2:$F$1005, 2, FALSE)</f>
        <v>230</v>
      </c>
      <c r="C40" s="55">
        <f>VLOOKUP($A40, 'Table 4 Full data'!$A$2:$F$1005, 3, FALSE)</f>
        <v>0.02</v>
      </c>
      <c r="D40" s="108">
        <f>VLOOKUP($A40, 'Table 4 Full data'!$A$2:$F$1005, 4, FALSE)</f>
        <v>215</v>
      </c>
      <c r="E40" s="108">
        <f>VLOOKUP($A40, 'Table 4 Full data'!$A$2:$F$1005, 5, FALSE)</f>
        <v>140</v>
      </c>
      <c r="F40" s="55">
        <f>VLOOKUP($A40, 'Table 4 Full data'!$A$2:$F$1005, 6, FALSE)</f>
        <v>0.66</v>
      </c>
      <c r="G40" s="30"/>
      <c r="H40" s="30"/>
      <c r="I40" s="30"/>
      <c r="J40" s="30"/>
      <c r="K40" s="30"/>
      <c r="L40" s="30"/>
    </row>
    <row r="41" spans="1:12" ht="15.5" x14ac:dyDescent="0.35">
      <c r="A41" s="63" t="str">
        <f xml:space="preserve"> "West Lothian " &amp;$B$7</f>
        <v>West Lothian All time</v>
      </c>
      <c r="B41" s="108">
        <f>VLOOKUP($A41, 'Table 4 Full data'!$A$2:$F$1005, 2, FALSE)</f>
        <v>455</v>
      </c>
      <c r="C41" s="36">
        <f>VLOOKUP($A41, 'Table 4 Full data'!$A$2:$F$1005, 3, FALSE)</f>
        <v>0.04</v>
      </c>
      <c r="D41" s="108">
        <f>VLOOKUP($A41, 'Table 4 Full data'!$A$2:$F$1005, 4, FALSE)</f>
        <v>435</v>
      </c>
      <c r="E41" s="108">
        <f>VLOOKUP($A41, 'Table 4 Full data'!$A$2:$F$1005, 5, FALSE)</f>
        <v>305</v>
      </c>
      <c r="F41" s="36">
        <f>VLOOKUP($A41, 'Table 4 Full data'!$A$2:$F$1005, 6, FALSE)</f>
        <v>0.69</v>
      </c>
      <c r="G41" s="30"/>
      <c r="H41" s="30"/>
      <c r="I41" s="30"/>
      <c r="J41" s="30"/>
      <c r="K41" s="30"/>
      <c r="L41" s="30"/>
    </row>
    <row r="42" spans="1:12" ht="15.5" x14ac:dyDescent="0.35">
      <c r="A42" s="63" t="str">
        <f xml:space="preserve"> "Unknown - Scottish address " &amp;$B$7</f>
        <v>Unknown - Scottish address All time</v>
      </c>
      <c r="B42" s="108">
        <f>VLOOKUP($A42, 'Table 4 Full data'!$A$2:$F$1005, 2, FALSE)</f>
        <v>5</v>
      </c>
      <c r="C42" s="55">
        <f>VLOOKUP($A42, 'Table 4 Full data'!$A$2:$F$1005, 3, FALSE)</f>
        <v>0</v>
      </c>
      <c r="D42" s="108">
        <f>VLOOKUP($A42, 'Table 4 Full data'!$A$2:$F$1005, 4, FALSE)</f>
        <v>5</v>
      </c>
      <c r="E42" s="108">
        <f>VLOOKUP($A42, 'Table 4 Full data'!$A$2:$F$1005, 5, FALSE)</f>
        <v>5</v>
      </c>
      <c r="F42" s="55">
        <f>VLOOKUP($A42, 'Table 4 Full data'!$A$2:$F$1005, 6, FALSE)</f>
        <v>0.6</v>
      </c>
      <c r="G42" s="30"/>
      <c r="H42" s="30"/>
      <c r="I42" s="30"/>
      <c r="J42" s="30"/>
      <c r="K42" s="30"/>
      <c r="L42" s="30"/>
    </row>
    <row r="43" spans="1:12" ht="15.5" x14ac:dyDescent="0.35">
      <c r="A43" s="63" t="str">
        <f xml:space="preserve"> "Non-Scottish postcode " &amp;$B$7</f>
        <v>Non-Scottish postcode All time</v>
      </c>
      <c r="B43" s="108">
        <f>VLOOKUP($A43, 'Table 4 Full data'!$A$2:$F$1005, 2, FALSE)</f>
        <v>15</v>
      </c>
      <c r="C43" s="36">
        <f>VLOOKUP($A43, 'Table 4 Full data'!$A$2:$F$1005, 3, FALSE)</f>
        <v>0</v>
      </c>
      <c r="D43" s="108">
        <f>VLOOKUP($A43, 'Table 4 Full data'!$A$2:$F$1005, 4, FALSE)</f>
        <v>15</v>
      </c>
      <c r="E43" s="108">
        <f>VLOOKUP($A43, 'Table 4 Full data'!$A$2:$F$1005, 5, FALSE)</f>
        <v>5</v>
      </c>
      <c r="F43" s="36">
        <f>VLOOKUP($A43, 'Table 4 Full data'!$A$2:$F$1005, 6, FALSE)</f>
        <v>0.2</v>
      </c>
      <c r="G43" s="30"/>
      <c r="H43" s="30"/>
      <c r="I43" s="30"/>
      <c r="J43" s="30"/>
      <c r="K43" s="30"/>
      <c r="L43" s="30"/>
    </row>
    <row r="44" spans="1:12" ht="15.5" x14ac:dyDescent="0.35">
      <c r="A44" s="63" t="str">
        <f xml:space="preserve"> "No address " &amp;$B$7</f>
        <v>No address All time</v>
      </c>
      <c r="B44" s="108">
        <f>VLOOKUP($A44, 'Table 4 Full data'!$A$2:$F$1005, 2, FALSE)</f>
        <v>35</v>
      </c>
      <c r="C44" s="56">
        <f>VLOOKUP($A44, 'Table 4 Full data'!$A$2:$F$1005, 3, FALSE)</f>
        <v>0</v>
      </c>
      <c r="D44" s="108">
        <f>VLOOKUP($A44, 'Table 4 Full data'!$A$2:$F$1005, 4, FALSE)</f>
        <v>20</v>
      </c>
      <c r="E44" s="108">
        <f>VLOOKUP($A44, 'Table 4 Full data'!$A$2:$F$1005, 5, FALSE)</f>
        <v>5</v>
      </c>
      <c r="F44" s="56">
        <f>VLOOKUP($A44, 'Table 4 Full data'!$A$2:$F$1005, 6, FALSE)</f>
        <v>0.15</v>
      </c>
      <c r="G44" s="30"/>
      <c r="H44" s="30"/>
      <c r="I44" s="30"/>
      <c r="J44" s="30"/>
      <c r="K44" s="30"/>
      <c r="L44" s="30"/>
    </row>
    <row r="45" spans="1:12" ht="15.75" customHeight="1" x14ac:dyDescent="0.35">
      <c r="A45" s="15" t="s">
        <v>8</v>
      </c>
    </row>
    <row r="46" spans="1:12" ht="15.75" customHeight="1" x14ac:dyDescent="0.35">
      <c r="A46" s="15" t="s">
        <v>114</v>
      </c>
    </row>
    <row r="47" spans="1:12" ht="164.5" customHeight="1" x14ac:dyDescent="0.35">
      <c r="A47" s="33" t="s">
        <v>79</v>
      </c>
    </row>
    <row r="48" spans="1:12" ht="124" x14ac:dyDescent="0.35">
      <c r="A48" s="182" t="s">
        <v>413</v>
      </c>
    </row>
    <row r="49" spans="1:1" ht="15.75" customHeight="1" x14ac:dyDescent="0.35">
      <c r="A49" s="34" t="s">
        <v>430</v>
      </c>
    </row>
    <row r="50" spans="1:1" ht="15.75" customHeight="1" x14ac:dyDescent="0.35">
      <c r="A50" s="34" t="s">
        <v>431</v>
      </c>
    </row>
    <row r="51" spans="1:1" ht="15.75" customHeight="1" x14ac:dyDescent="0.35">
      <c r="A51" s="34" t="s">
        <v>421</v>
      </c>
    </row>
    <row r="52" spans="1:1" ht="15.5" x14ac:dyDescent="0.35">
      <c r="A52" s="34" t="s">
        <v>7</v>
      </c>
    </row>
  </sheetData>
  <conditionalFormatting sqref="F9:F44">
    <cfRule type="dataBar" priority="3">
      <dataBar>
        <cfvo type="num" val="0"/>
        <cfvo type="num" val="1"/>
        <color rgb="FFB4A9D4"/>
      </dataBar>
      <extLst>
        <ext xmlns:x14="http://schemas.microsoft.com/office/spreadsheetml/2009/9/main" uri="{B025F937-C7B1-47D3-B67F-A62EFF666E3E}">
          <x14:id>{A37AF369-CE81-4ED0-A6B3-6F3F9DCE6B76}</x14:id>
        </ext>
      </extLst>
    </cfRule>
  </conditionalFormatting>
  <conditionalFormatting sqref="C9:C44">
    <cfRule type="dataBar" priority="2">
      <dataBar>
        <cfvo type="num" val="0"/>
        <cfvo type="num" val="1"/>
        <color rgb="FFB4A9D4"/>
      </dataBar>
      <extLst>
        <ext xmlns:x14="http://schemas.microsoft.com/office/spreadsheetml/2009/9/main" uri="{B025F937-C7B1-47D3-B67F-A62EFF666E3E}">
          <x14:id>{0ABA0069-A928-4F70-BD28-A0B77695ED44}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7AF369-CE81-4ED0-A6B3-6F3F9DCE6B76}">
            <x14:dataBar minLength="0" maxLength="100" gradient="0">
              <x14:cfvo type="num">
                <xm:f>0</xm:f>
              </x14:cfvo>
              <x14:cfvo type="num">
                <xm:f>1</xm:f>
              </x14:cfvo>
              <x14:negativeFillColor rgb="FFFF0000"/>
              <x14:axisColor rgb="FF000000"/>
            </x14:dataBar>
          </x14:cfRule>
          <xm:sqref>F9:F44</xm:sqref>
        </x14:conditionalFormatting>
        <x14:conditionalFormatting xmlns:xm="http://schemas.microsoft.com/office/excel/2006/main">
          <x14:cfRule type="dataBar" id="{0ABA0069-A928-4F70-BD28-A0B77695ED44}">
            <x14:dataBar minLength="0" maxLength="100" gradient="0">
              <x14:cfvo type="num">
                <xm:f>0</xm:f>
              </x14:cfvo>
              <x14:cfvo type="num">
                <xm:f>1</xm:f>
              </x14:cfvo>
              <x14:negativeFillColor rgb="FFFF0000"/>
              <x14:axisColor rgb="FF000000"/>
            </x14:dataBar>
          </x14:cfRule>
          <xm:sqref>C9:C44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Full data'!$H$2:$H$6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RowHeight="14.5" x14ac:dyDescent="0.35"/>
  <cols>
    <col min="1" max="1" width="26.1796875" customWidth="1"/>
    <col min="2" max="2" width="19.26953125" customWidth="1"/>
    <col min="3" max="3" width="16.453125" customWidth="1"/>
    <col min="4" max="4" width="17.7265625" customWidth="1"/>
    <col min="5" max="5" width="14.81640625" customWidth="1"/>
    <col min="6" max="6" width="14" customWidth="1"/>
    <col min="7" max="7" width="14.26953125" customWidth="1"/>
    <col min="8" max="8" width="15.26953125" customWidth="1"/>
    <col min="9" max="9" width="13.453125" customWidth="1"/>
    <col min="10" max="10" width="15" customWidth="1"/>
  </cols>
  <sheetData>
    <row r="1" spans="1:10" ht="21" x14ac:dyDescent="0.5">
      <c r="A1" s="24" t="s">
        <v>22</v>
      </c>
    </row>
    <row r="2" spans="1:10" ht="15.5" x14ac:dyDescent="0.35">
      <c r="A2" s="30" t="s">
        <v>294</v>
      </c>
      <c r="B2" s="30"/>
      <c r="C2" s="30"/>
      <c r="D2" s="30"/>
      <c r="E2" s="30"/>
      <c r="F2" s="30"/>
      <c r="G2" s="30"/>
      <c r="H2" s="30"/>
    </row>
    <row r="3" spans="1:10" ht="15.5" x14ac:dyDescent="0.35">
      <c r="A3" s="132" t="s">
        <v>300</v>
      </c>
    </row>
    <row r="4" spans="1:10" ht="15.5" x14ac:dyDescent="0.35">
      <c r="A4" s="132" t="s">
        <v>301</v>
      </c>
    </row>
    <row r="5" spans="1:10" ht="15.5" x14ac:dyDescent="0.35">
      <c r="A5" s="26" t="s">
        <v>115</v>
      </c>
    </row>
    <row r="6" spans="1:10" ht="62" x14ac:dyDescent="0.35">
      <c r="A6" s="101" t="s">
        <v>372</v>
      </c>
      <c r="B6" s="16" t="s">
        <v>60</v>
      </c>
      <c r="C6" s="16" t="s">
        <v>61</v>
      </c>
      <c r="D6" s="19" t="s">
        <v>373</v>
      </c>
      <c r="E6" s="57" t="s">
        <v>62</v>
      </c>
      <c r="F6" s="57" t="s">
        <v>106</v>
      </c>
      <c r="G6" s="57" t="s">
        <v>107</v>
      </c>
      <c r="H6" s="19" t="s">
        <v>65</v>
      </c>
      <c r="I6" s="193" t="s">
        <v>66</v>
      </c>
      <c r="J6" s="101" t="s">
        <v>108</v>
      </c>
    </row>
    <row r="7" spans="1:10" ht="15.5" x14ac:dyDescent="0.35">
      <c r="A7" s="102" t="s">
        <v>6</v>
      </c>
      <c r="B7" s="106">
        <v>11490</v>
      </c>
      <c r="C7" s="65">
        <v>1</v>
      </c>
      <c r="D7" s="106">
        <v>10930</v>
      </c>
      <c r="E7" s="216">
        <v>7595</v>
      </c>
      <c r="F7" s="216">
        <v>3100</v>
      </c>
      <c r="G7" s="216">
        <v>235</v>
      </c>
      <c r="H7" s="217">
        <v>0.69</v>
      </c>
      <c r="I7" s="217">
        <v>0.28000000000000003</v>
      </c>
      <c r="J7" s="220">
        <v>0.02</v>
      </c>
    </row>
    <row r="8" spans="1:10" ht="15.5" x14ac:dyDescent="0.35">
      <c r="A8" s="63" t="s">
        <v>14</v>
      </c>
      <c r="B8" s="108">
        <v>11295</v>
      </c>
      <c r="C8" s="120">
        <v>0.98</v>
      </c>
      <c r="D8" s="108">
        <v>10765</v>
      </c>
      <c r="E8" s="194">
        <v>7550</v>
      </c>
      <c r="F8" s="194">
        <v>3090</v>
      </c>
      <c r="G8" s="194">
        <v>125</v>
      </c>
      <c r="H8" s="195">
        <v>0.7</v>
      </c>
      <c r="I8" s="195">
        <v>0.28999999999999998</v>
      </c>
      <c r="J8" s="191">
        <v>0.01</v>
      </c>
    </row>
    <row r="9" spans="1:10" ht="15.5" x14ac:dyDescent="0.35">
      <c r="A9" s="63" t="s">
        <v>12</v>
      </c>
      <c r="B9" s="108">
        <v>50</v>
      </c>
      <c r="C9" s="120">
        <v>0</v>
      </c>
      <c r="D9" s="108">
        <v>50</v>
      </c>
      <c r="E9" s="194">
        <v>40</v>
      </c>
      <c r="F9" s="194">
        <v>10</v>
      </c>
      <c r="G9" s="194" t="s">
        <v>109</v>
      </c>
      <c r="H9" s="265">
        <v>0.82</v>
      </c>
      <c r="I9" s="265" t="s">
        <v>109</v>
      </c>
      <c r="J9" s="264" t="s">
        <v>109</v>
      </c>
    </row>
    <row r="10" spans="1:10" ht="15.5" x14ac:dyDescent="0.35">
      <c r="A10" s="63" t="s">
        <v>13</v>
      </c>
      <c r="B10" s="108">
        <v>5</v>
      </c>
      <c r="C10" s="120">
        <v>0</v>
      </c>
      <c r="D10" s="108">
        <v>5</v>
      </c>
      <c r="E10" s="194">
        <v>5</v>
      </c>
      <c r="F10" s="194" t="s">
        <v>109</v>
      </c>
      <c r="G10" s="194">
        <v>0</v>
      </c>
      <c r="H10" s="265" t="s">
        <v>109</v>
      </c>
      <c r="I10" s="265" t="s">
        <v>109</v>
      </c>
      <c r="J10" s="264">
        <v>0</v>
      </c>
    </row>
    <row r="11" spans="1:10" ht="15.5" x14ac:dyDescent="0.35">
      <c r="A11" s="103" t="s">
        <v>80</v>
      </c>
      <c r="B11" s="109">
        <v>135</v>
      </c>
      <c r="C11" s="120">
        <v>0.01</v>
      </c>
      <c r="D11" s="109">
        <v>110</v>
      </c>
      <c r="E11" s="194">
        <v>0</v>
      </c>
      <c r="F11" s="194" t="s">
        <v>109</v>
      </c>
      <c r="G11" s="194">
        <v>110</v>
      </c>
      <c r="H11" s="265">
        <v>0</v>
      </c>
      <c r="I11" s="265" t="s">
        <v>109</v>
      </c>
      <c r="J11" s="264" t="s">
        <v>109</v>
      </c>
    </row>
    <row r="12" spans="1:10" ht="15.75" customHeight="1" x14ac:dyDescent="0.35">
      <c r="A12" s="45" t="s">
        <v>8</v>
      </c>
      <c r="B12" s="5"/>
      <c r="C12" s="5"/>
      <c r="D12" s="5"/>
      <c r="E12" s="5"/>
      <c r="F12" s="5"/>
    </row>
    <row r="13" spans="1:10" ht="15.75" customHeight="1" x14ac:dyDescent="0.35">
      <c r="A13" s="45" t="s">
        <v>92</v>
      </c>
      <c r="B13" s="5"/>
      <c r="C13" s="29"/>
      <c r="D13" s="5"/>
      <c r="E13" s="5"/>
      <c r="F13" s="5"/>
    </row>
    <row r="14" spans="1:10" ht="15.75" customHeight="1" x14ac:dyDescent="0.35">
      <c r="A14" s="34" t="s">
        <v>81</v>
      </c>
      <c r="B14" s="4"/>
      <c r="C14" s="4"/>
      <c r="D14" s="4"/>
      <c r="E14" s="4"/>
      <c r="F14" s="4"/>
    </row>
    <row r="15" spans="1:10" ht="15.75" customHeight="1" x14ac:dyDescent="0.35">
      <c r="A15" s="34" t="s">
        <v>82</v>
      </c>
      <c r="B15" s="4"/>
      <c r="C15" s="4"/>
      <c r="D15" s="4"/>
      <c r="E15" s="4"/>
      <c r="F15" s="4"/>
    </row>
    <row r="16" spans="1:10" ht="14.5" customHeight="1" x14ac:dyDescent="0.35">
      <c r="A16" s="5"/>
      <c r="B16" s="5"/>
      <c r="C16" s="5"/>
      <c r="D16" s="5"/>
      <c r="E16" s="5"/>
      <c r="F16" s="5"/>
    </row>
  </sheetData>
  <conditionalFormatting sqref="H7:J8 H11 H9">
    <cfRule type="dataBar" priority="5">
      <dataBar>
        <cfvo type="num" val="0"/>
        <cfvo type="num" val="1"/>
        <color rgb="FFB4A9D4"/>
      </dataBar>
      <extLst>
        <ext xmlns:x14="http://schemas.microsoft.com/office/spreadsheetml/2009/9/main" uri="{B025F937-C7B1-47D3-B67F-A62EFF666E3E}">
          <x14:id>{187790AA-FC12-44AB-B83F-E419361EAA68}</x14:id>
        </ext>
      </extLst>
    </cfRule>
  </conditionalFormatting>
  <conditionalFormatting sqref="C7:C11">
    <cfRule type="dataBar" priority="4">
      <dataBar>
        <cfvo type="num" val="0"/>
        <cfvo type="num" val="1"/>
        <color rgb="FFB4A9D4"/>
      </dataBar>
      <extLst>
        <ext xmlns:x14="http://schemas.microsoft.com/office/spreadsheetml/2009/9/main" uri="{B025F937-C7B1-47D3-B67F-A62EFF666E3E}">
          <x14:id>{9A4A8E8B-EC19-47B7-8CCB-9BB31E19E477}</x14:id>
        </ext>
      </extLst>
    </cfRule>
  </conditionalFormatting>
  <conditionalFormatting sqref="J11">
    <cfRule type="dataBar" priority="3">
      <dataBar>
        <cfvo type="num" val="0"/>
        <cfvo type="num" val="1"/>
        <color rgb="FFB4A9D4"/>
      </dataBar>
      <extLst>
        <ext xmlns:x14="http://schemas.microsoft.com/office/spreadsheetml/2009/9/main" uri="{B025F937-C7B1-47D3-B67F-A62EFF666E3E}">
          <x14:id>{AEF7E5F7-5CD9-44EE-ABFD-3DEFE0F706BE}</x14:id>
        </ext>
      </extLst>
    </cfRule>
  </conditionalFormatting>
  <conditionalFormatting sqref="I9">
    <cfRule type="dataBar" priority="2">
      <dataBar>
        <cfvo type="num" val="0"/>
        <cfvo type="num" val="1"/>
        <color rgb="FFB4A9D4"/>
      </dataBar>
      <extLst>
        <ext xmlns:x14="http://schemas.microsoft.com/office/spreadsheetml/2009/9/main" uri="{B025F937-C7B1-47D3-B67F-A62EFF666E3E}">
          <x14:id>{27682DBB-5184-44D6-958F-F0D973CF9CB3}</x14:id>
        </ext>
      </extLst>
    </cfRule>
  </conditionalFormatting>
  <conditionalFormatting sqref="H10">
    <cfRule type="dataBar" priority="1">
      <dataBar>
        <cfvo type="num" val="0"/>
        <cfvo type="num" val="1"/>
        <color rgb="FFB4A9D4"/>
      </dataBar>
      <extLst>
        <ext xmlns:x14="http://schemas.microsoft.com/office/spreadsheetml/2009/9/main" uri="{B025F937-C7B1-47D3-B67F-A62EFF666E3E}">
          <x14:id>{24245A3B-CDD5-46E7-B729-75B8BFEE93DF}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87790AA-FC12-44AB-B83F-E419361EAA68}">
            <x14:dataBar minLength="0" maxLength="100" gradient="0">
              <x14:cfvo type="num">
                <xm:f>0</xm:f>
              </x14:cfvo>
              <x14:cfvo type="num">
                <xm:f>1</xm:f>
              </x14:cfvo>
              <x14:negativeFillColor rgb="FFFF0000"/>
              <x14:axisColor rgb="FF000000"/>
            </x14:dataBar>
          </x14:cfRule>
          <xm:sqref>H7:J8 H11 H9</xm:sqref>
        </x14:conditionalFormatting>
        <x14:conditionalFormatting xmlns:xm="http://schemas.microsoft.com/office/excel/2006/main">
          <x14:cfRule type="dataBar" id="{9A4A8E8B-EC19-47B7-8CCB-9BB31E19E477}">
            <x14:dataBar minLength="0" maxLength="100" gradient="0">
              <x14:cfvo type="num">
                <xm:f>0</xm:f>
              </x14:cfvo>
              <x14:cfvo type="num">
                <xm:f>1</xm:f>
              </x14:cfvo>
              <x14:negativeFillColor rgb="FFFF0000"/>
              <x14:axisColor rgb="FF000000"/>
            </x14:dataBar>
          </x14:cfRule>
          <xm:sqref>C7:C11</xm:sqref>
        </x14:conditionalFormatting>
        <x14:conditionalFormatting xmlns:xm="http://schemas.microsoft.com/office/excel/2006/main">
          <x14:cfRule type="dataBar" id="{AEF7E5F7-5CD9-44EE-ABFD-3DEFE0F706BE}">
            <x14:dataBar minLength="0" maxLength="100" gradient="0">
              <x14:cfvo type="num">
                <xm:f>0</xm:f>
              </x14:cfvo>
              <x14:cfvo type="num">
                <xm:f>1</xm:f>
              </x14:cfvo>
              <x14:negativeFillColor rgb="FFFF0000"/>
              <x14:axisColor rgb="FF000000"/>
            </x14:dataBar>
          </x14:cfRule>
          <xm:sqref>J11</xm:sqref>
        </x14:conditionalFormatting>
        <x14:conditionalFormatting xmlns:xm="http://schemas.microsoft.com/office/excel/2006/main">
          <x14:cfRule type="dataBar" id="{27682DBB-5184-44D6-958F-F0D973CF9CB3}">
            <x14:dataBar minLength="0" maxLength="100" gradient="0">
              <x14:cfvo type="num">
                <xm:f>0</xm:f>
              </x14:cfvo>
              <x14:cfvo type="num">
                <xm:f>1</xm:f>
              </x14:cfvo>
              <x14:negativeFillColor rgb="FFFF0000"/>
              <x14:axisColor rgb="FF000000"/>
            </x14:dataBar>
          </x14:cfRule>
          <xm:sqref>I9</xm:sqref>
        </x14:conditionalFormatting>
        <x14:conditionalFormatting xmlns:xm="http://schemas.microsoft.com/office/excel/2006/main">
          <x14:cfRule type="dataBar" id="{24245A3B-CDD5-46E7-B729-75B8BFEE93DF}">
            <x14:dataBar minLength="0" maxLength="100" gradient="0">
              <x14:cfvo type="num">
                <xm:f>0</xm:f>
              </x14:cfvo>
              <x14:cfvo type="num">
                <xm:f>1</xm:f>
              </x14:cfvo>
              <x14:negativeFillColor rgb="FFFF0000"/>
              <x14:axisColor rgb="FF000000"/>
            </x14:dataBar>
          </x14:cfRule>
          <xm:sqref>H10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sheetViews>
  <sheetFormatPr defaultRowHeight="14.5" x14ac:dyDescent="0.35"/>
  <cols>
    <col min="1" max="1" width="46.1796875" customWidth="1"/>
    <col min="2" max="2" width="20.81640625" customWidth="1"/>
    <col min="3" max="3" width="20.54296875" customWidth="1"/>
    <col min="4" max="4" width="13.54296875" customWidth="1"/>
    <col min="5" max="5" width="13.81640625" customWidth="1"/>
    <col min="6" max="6" width="14.26953125" customWidth="1"/>
    <col min="7" max="7" width="17" customWidth="1"/>
    <col min="8" max="8" width="14.54296875" customWidth="1"/>
    <col min="9" max="9" width="17.453125" customWidth="1"/>
    <col min="10" max="10" width="17" customWidth="1"/>
    <col min="11" max="11" width="15.54296875" customWidth="1"/>
    <col min="12" max="12" width="19.54296875" customWidth="1"/>
    <col min="13" max="13" width="18.453125" customWidth="1"/>
  </cols>
  <sheetData>
    <row r="1" spans="1:16" ht="21" x14ac:dyDescent="0.5">
      <c r="A1" s="24" t="s">
        <v>24</v>
      </c>
    </row>
    <row r="2" spans="1:16" ht="15.5" x14ac:dyDescent="0.35">
      <c r="A2" s="25" t="s">
        <v>91</v>
      </c>
    </row>
    <row r="3" spans="1:16" ht="15.5" x14ac:dyDescent="0.35">
      <c r="A3" s="132" t="s">
        <v>300</v>
      </c>
    </row>
    <row r="4" spans="1:16" ht="15.5" x14ac:dyDescent="0.35">
      <c r="A4" s="132" t="s">
        <v>301</v>
      </c>
    </row>
    <row r="5" spans="1:16" ht="15.5" x14ac:dyDescent="0.35">
      <c r="A5" s="26" t="s">
        <v>394</v>
      </c>
    </row>
    <row r="6" spans="1:16" ht="115.5" customHeight="1" x14ac:dyDescent="0.35">
      <c r="A6" s="218" t="s">
        <v>374</v>
      </c>
      <c r="B6" s="227" t="s">
        <v>330</v>
      </c>
      <c r="C6" s="228" t="s">
        <v>83</v>
      </c>
      <c r="D6" s="219" t="s">
        <v>84</v>
      </c>
      <c r="E6" s="17" t="s">
        <v>85</v>
      </c>
      <c r="F6" s="19" t="s">
        <v>86</v>
      </c>
      <c r="G6" s="17" t="s">
        <v>87</v>
      </c>
      <c r="H6" s="229" t="s">
        <v>88</v>
      </c>
      <c r="I6" s="231" t="s">
        <v>375</v>
      </c>
      <c r="J6" s="135" t="s">
        <v>376</v>
      </c>
      <c r="K6" s="135" t="s">
        <v>377</v>
      </c>
      <c r="L6" s="136" t="s">
        <v>378</v>
      </c>
      <c r="M6" s="37" t="s">
        <v>379</v>
      </c>
    </row>
    <row r="7" spans="1:16" ht="17.25" customHeight="1" x14ac:dyDescent="0.35">
      <c r="A7" s="221" t="s">
        <v>110</v>
      </c>
      <c r="B7" s="274">
        <v>10875</v>
      </c>
      <c r="C7" s="275">
        <v>75</v>
      </c>
      <c r="D7" s="276">
        <v>990</v>
      </c>
      <c r="E7" s="274">
        <v>1615</v>
      </c>
      <c r="F7" s="275">
        <v>1990</v>
      </c>
      <c r="G7" s="276">
        <v>1730</v>
      </c>
      <c r="H7" s="277">
        <v>4475</v>
      </c>
      <c r="I7" s="278">
        <v>2685</v>
      </c>
      <c r="J7" s="279">
        <v>4670</v>
      </c>
      <c r="K7" s="279">
        <v>6205</v>
      </c>
      <c r="L7" s="236">
        <v>0.25</v>
      </c>
      <c r="M7" s="239">
        <v>18</v>
      </c>
      <c r="O7" s="58"/>
    </row>
    <row r="8" spans="1:16" ht="16.5" customHeight="1" x14ac:dyDescent="0.35">
      <c r="A8" s="222" t="s">
        <v>39</v>
      </c>
      <c r="B8" s="280">
        <v>25</v>
      </c>
      <c r="C8" s="281">
        <v>5</v>
      </c>
      <c r="D8" s="282">
        <v>10</v>
      </c>
      <c r="E8" s="280">
        <v>10</v>
      </c>
      <c r="F8" s="281">
        <v>0</v>
      </c>
      <c r="G8" s="282">
        <v>0</v>
      </c>
      <c r="H8" s="283">
        <v>0</v>
      </c>
      <c r="I8" s="281">
        <v>25</v>
      </c>
      <c r="J8" s="280">
        <v>25</v>
      </c>
      <c r="K8" s="280">
        <v>0</v>
      </c>
      <c r="L8" s="237">
        <v>1</v>
      </c>
      <c r="M8" s="232">
        <v>4</v>
      </c>
    </row>
    <row r="9" spans="1:16" ht="15" customHeight="1" x14ac:dyDescent="0.35">
      <c r="A9" s="222" t="s">
        <v>40</v>
      </c>
      <c r="B9" s="280">
        <v>345</v>
      </c>
      <c r="C9" s="281">
        <v>5</v>
      </c>
      <c r="D9" s="282">
        <v>15</v>
      </c>
      <c r="E9" s="280">
        <v>110</v>
      </c>
      <c r="F9" s="281">
        <v>120</v>
      </c>
      <c r="G9" s="282">
        <v>60</v>
      </c>
      <c r="H9" s="283">
        <v>40</v>
      </c>
      <c r="I9" s="284">
        <v>130</v>
      </c>
      <c r="J9" s="280">
        <v>250</v>
      </c>
      <c r="K9" s="280">
        <v>95</v>
      </c>
      <c r="L9" s="235">
        <v>0.38</v>
      </c>
      <c r="M9" s="232">
        <v>12</v>
      </c>
      <c r="P9" s="134"/>
    </row>
    <row r="10" spans="1:16" ht="15.5" x14ac:dyDescent="0.35">
      <c r="A10" s="222" t="s">
        <v>41</v>
      </c>
      <c r="B10" s="280">
        <v>305</v>
      </c>
      <c r="C10" s="281">
        <v>5</v>
      </c>
      <c r="D10" s="282">
        <v>30</v>
      </c>
      <c r="E10" s="280">
        <v>45</v>
      </c>
      <c r="F10" s="281">
        <v>80</v>
      </c>
      <c r="G10" s="282">
        <v>45</v>
      </c>
      <c r="H10" s="283">
        <v>95</v>
      </c>
      <c r="I10" s="284">
        <v>85</v>
      </c>
      <c r="J10" s="280">
        <v>165</v>
      </c>
      <c r="K10" s="280">
        <v>140</v>
      </c>
      <c r="L10" s="235">
        <v>0.28000000000000003</v>
      </c>
      <c r="M10" s="232">
        <v>15</v>
      </c>
    </row>
    <row r="11" spans="1:16" ht="15.5" x14ac:dyDescent="0.35">
      <c r="A11" s="222" t="s">
        <v>42</v>
      </c>
      <c r="B11" s="280">
        <v>285</v>
      </c>
      <c r="C11" s="281">
        <v>5</v>
      </c>
      <c r="D11" s="282">
        <v>30</v>
      </c>
      <c r="E11" s="280">
        <v>35</v>
      </c>
      <c r="F11" s="281">
        <v>60</v>
      </c>
      <c r="G11" s="282">
        <v>50</v>
      </c>
      <c r="H11" s="283">
        <v>105</v>
      </c>
      <c r="I11" s="284">
        <v>75</v>
      </c>
      <c r="J11" s="280">
        <v>130</v>
      </c>
      <c r="K11" s="280">
        <v>155</v>
      </c>
      <c r="L11" s="235">
        <v>0.26</v>
      </c>
      <c r="M11" s="232">
        <v>17</v>
      </c>
    </row>
    <row r="12" spans="1:16" ht="15.5" x14ac:dyDescent="0.35">
      <c r="A12" s="222" t="s">
        <v>43</v>
      </c>
      <c r="B12" s="280">
        <v>225</v>
      </c>
      <c r="C12" s="281">
        <v>10</v>
      </c>
      <c r="D12" s="282">
        <v>15</v>
      </c>
      <c r="E12" s="280">
        <v>40</v>
      </c>
      <c r="F12" s="281">
        <v>40</v>
      </c>
      <c r="G12" s="282">
        <v>45</v>
      </c>
      <c r="H12" s="283">
        <v>80</v>
      </c>
      <c r="I12" s="284">
        <v>65</v>
      </c>
      <c r="J12" s="280">
        <v>105</v>
      </c>
      <c r="K12" s="280">
        <v>120</v>
      </c>
      <c r="L12" s="235">
        <v>0.28000000000000003</v>
      </c>
      <c r="M12" s="232">
        <v>16</v>
      </c>
      <c r="P12" s="134"/>
    </row>
    <row r="13" spans="1:16" ht="15.5" x14ac:dyDescent="0.35">
      <c r="A13" s="222" t="s">
        <v>44</v>
      </c>
      <c r="B13" s="280">
        <v>205</v>
      </c>
      <c r="C13" s="281">
        <v>5</v>
      </c>
      <c r="D13" s="282">
        <v>10</v>
      </c>
      <c r="E13" s="280">
        <v>20</v>
      </c>
      <c r="F13" s="281">
        <v>30</v>
      </c>
      <c r="G13" s="282">
        <v>30</v>
      </c>
      <c r="H13" s="283">
        <v>105</v>
      </c>
      <c r="I13" s="284">
        <v>35</v>
      </c>
      <c r="J13" s="280">
        <v>65</v>
      </c>
      <c r="K13" s="280">
        <v>135</v>
      </c>
      <c r="L13" s="235">
        <v>0.17</v>
      </c>
      <c r="M13" s="232">
        <v>21</v>
      </c>
    </row>
    <row r="14" spans="1:16" ht="15.5" x14ac:dyDescent="0.35">
      <c r="A14" s="222" t="s">
        <v>45</v>
      </c>
      <c r="B14" s="280">
        <v>145</v>
      </c>
      <c r="C14" s="281">
        <v>5</v>
      </c>
      <c r="D14" s="282">
        <v>35</v>
      </c>
      <c r="E14" s="280">
        <v>25</v>
      </c>
      <c r="F14" s="281">
        <v>20</v>
      </c>
      <c r="G14" s="282">
        <v>10</v>
      </c>
      <c r="H14" s="283">
        <v>45</v>
      </c>
      <c r="I14" s="284">
        <v>70</v>
      </c>
      <c r="J14" s="280">
        <v>90</v>
      </c>
      <c r="K14" s="280">
        <v>55</v>
      </c>
      <c r="L14" s="235">
        <v>0.48</v>
      </c>
      <c r="M14" s="232">
        <v>11</v>
      </c>
    </row>
    <row r="15" spans="1:16" ht="15.5" x14ac:dyDescent="0.35">
      <c r="A15" s="222" t="s">
        <v>46</v>
      </c>
      <c r="B15" s="280">
        <v>235</v>
      </c>
      <c r="C15" s="281">
        <v>5</v>
      </c>
      <c r="D15" s="282">
        <v>30</v>
      </c>
      <c r="E15" s="280">
        <v>35</v>
      </c>
      <c r="F15" s="281">
        <v>20</v>
      </c>
      <c r="G15" s="282">
        <v>15</v>
      </c>
      <c r="H15" s="283">
        <v>135</v>
      </c>
      <c r="I15" s="284">
        <v>65</v>
      </c>
      <c r="J15" s="280">
        <v>85</v>
      </c>
      <c r="K15" s="280">
        <v>150</v>
      </c>
      <c r="L15" s="235">
        <v>0.28000000000000003</v>
      </c>
      <c r="M15" s="232">
        <v>40</v>
      </c>
    </row>
    <row r="16" spans="1:16" ht="15.5" x14ac:dyDescent="0.35">
      <c r="A16" s="222" t="s">
        <v>47</v>
      </c>
      <c r="B16" s="280">
        <v>295</v>
      </c>
      <c r="C16" s="281" t="s">
        <v>109</v>
      </c>
      <c r="D16" s="282">
        <v>50</v>
      </c>
      <c r="E16" s="280">
        <v>50</v>
      </c>
      <c r="F16" s="281">
        <v>35</v>
      </c>
      <c r="G16" s="282">
        <v>10</v>
      </c>
      <c r="H16" s="283">
        <v>155</v>
      </c>
      <c r="I16" s="284">
        <v>100</v>
      </c>
      <c r="J16" s="280">
        <v>135</v>
      </c>
      <c r="K16" s="280">
        <v>165</v>
      </c>
      <c r="L16" s="235">
        <v>0.33</v>
      </c>
      <c r="M16" s="232">
        <v>23</v>
      </c>
    </row>
    <row r="17" spans="1:15" ht="15.5" x14ac:dyDescent="0.35">
      <c r="A17" s="222" t="s">
        <v>48</v>
      </c>
      <c r="B17" s="280">
        <v>185</v>
      </c>
      <c r="C17" s="281" t="s">
        <v>109</v>
      </c>
      <c r="D17" s="282">
        <v>20</v>
      </c>
      <c r="E17" s="280">
        <v>35</v>
      </c>
      <c r="F17" s="281">
        <v>30</v>
      </c>
      <c r="G17" s="282">
        <v>20</v>
      </c>
      <c r="H17" s="283">
        <v>75</v>
      </c>
      <c r="I17" s="284">
        <v>60</v>
      </c>
      <c r="J17" s="280">
        <v>90</v>
      </c>
      <c r="K17" s="280">
        <v>95</v>
      </c>
      <c r="L17" s="235">
        <v>0.32</v>
      </c>
      <c r="M17" s="232">
        <v>16</v>
      </c>
    </row>
    <row r="18" spans="1:15" ht="15.5" x14ac:dyDescent="0.35">
      <c r="A18" s="222" t="s">
        <v>49</v>
      </c>
      <c r="B18" s="280">
        <v>120</v>
      </c>
      <c r="C18" s="281">
        <v>0</v>
      </c>
      <c r="D18" s="282">
        <v>15</v>
      </c>
      <c r="E18" s="280">
        <v>35</v>
      </c>
      <c r="F18" s="281">
        <v>20</v>
      </c>
      <c r="G18" s="282">
        <v>15</v>
      </c>
      <c r="H18" s="283">
        <v>35</v>
      </c>
      <c r="I18" s="284">
        <v>50</v>
      </c>
      <c r="J18" s="280">
        <v>70</v>
      </c>
      <c r="K18" s="280">
        <v>50</v>
      </c>
      <c r="L18" s="235">
        <v>0.44</v>
      </c>
      <c r="M18" s="232">
        <v>11</v>
      </c>
    </row>
    <row r="19" spans="1:15" ht="15.5" x14ac:dyDescent="0.35">
      <c r="A19" s="222" t="s">
        <v>50</v>
      </c>
      <c r="B19" s="280">
        <v>230</v>
      </c>
      <c r="C19" s="281">
        <v>0</v>
      </c>
      <c r="D19" s="282">
        <v>40</v>
      </c>
      <c r="E19" s="280">
        <v>50</v>
      </c>
      <c r="F19" s="281">
        <v>35</v>
      </c>
      <c r="G19" s="282">
        <v>25</v>
      </c>
      <c r="H19" s="283">
        <v>80</v>
      </c>
      <c r="I19" s="284">
        <v>90</v>
      </c>
      <c r="J19" s="280">
        <v>125</v>
      </c>
      <c r="K19" s="280">
        <v>105</v>
      </c>
      <c r="L19" s="235">
        <v>0.39</v>
      </c>
      <c r="M19" s="232">
        <v>14</v>
      </c>
    </row>
    <row r="20" spans="1:15" ht="15.5" x14ac:dyDescent="0.35">
      <c r="A20" s="222" t="s">
        <v>51</v>
      </c>
      <c r="B20" s="280">
        <v>225</v>
      </c>
      <c r="C20" s="281" t="s">
        <v>109</v>
      </c>
      <c r="D20" s="282">
        <v>40</v>
      </c>
      <c r="E20" s="280">
        <v>60</v>
      </c>
      <c r="F20" s="281">
        <v>40</v>
      </c>
      <c r="G20" s="282">
        <v>20</v>
      </c>
      <c r="H20" s="283">
        <v>70</v>
      </c>
      <c r="I20" s="284">
        <v>100</v>
      </c>
      <c r="J20" s="280">
        <v>135</v>
      </c>
      <c r="K20" s="280">
        <v>85</v>
      </c>
      <c r="L20" s="235">
        <v>0.44</v>
      </c>
      <c r="M20" s="232">
        <v>12</v>
      </c>
    </row>
    <row r="21" spans="1:15" ht="15.5" x14ac:dyDescent="0.35">
      <c r="A21" s="222" t="s">
        <v>52</v>
      </c>
      <c r="B21" s="280">
        <v>340</v>
      </c>
      <c r="C21" s="281">
        <v>0</v>
      </c>
      <c r="D21" s="282">
        <v>15</v>
      </c>
      <c r="E21" s="280">
        <v>145</v>
      </c>
      <c r="F21" s="281">
        <v>90</v>
      </c>
      <c r="G21" s="282">
        <v>30</v>
      </c>
      <c r="H21" s="283">
        <v>60</v>
      </c>
      <c r="I21" s="284">
        <v>160</v>
      </c>
      <c r="J21" s="280">
        <v>245</v>
      </c>
      <c r="K21" s="280">
        <v>95</v>
      </c>
      <c r="L21" s="235">
        <v>0.46</v>
      </c>
      <c r="M21" s="232">
        <v>11</v>
      </c>
    </row>
    <row r="22" spans="1:15" ht="15.5" x14ac:dyDescent="0.35">
      <c r="A22" s="222" t="s">
        <v>53</v>
      </c>
      <c r="B22" s="280">
        <v>460</v>
      </c>
      <c r="C22" s="281" t="s">
        <v>109</v>
      </c>
      <c r="D22" s="282">
        <v>80</v>
      </c>
      <c r="E22" s="280">
        <v>120</v>
      </c>
      <c r="F22" s="281">
        <v>100</v>
      </c>
      <c r="G22" s="282">
        <v>75</v>
      </c>
      <c r="H22" s="283">
        <v>85</v>
      </c>
      <c r="I22" s="284">
        <v>200</v>
      </c>
      <c r="J22" s="280">
        <v>300</v>
      </c>
      <c r="K22" s="280">
        <v>160</v>
      </c>
      <c r="L22" s="235">
        <v>0.43</v>
      </c>
      <c r="M22" s="232">
        <v>12</v>
      </c>
    </row>
    <row r="23" spans="1:15" ht="15.5" x14ac:dyDescent="0.35">
      <c r="A23" s="222" t="s">
        <v>54</v>
      </c>
      <c r="B23" s="280">
        <v>445</v>
      </c>
      <c r="C23" s="281" t="s">
        <v>109</v>
      </c>
      <c r="D23" s="282">
        <v>90</v>
      </c>
      <c r="E23" s="280">
        <v>90</v>
      </c>
      <c r="F23" s="281">
        <v>70</v>
      </c>
      <c r="G23" s="282">
        <v>40</v>
      </c>
      <c r="H23" s="283">
        <v>155</v>
      </c>
      <c r="I23" s="284">
        <v>185</v>
      </c>
      <c r="J23" s="280">
        <v>250</v>
      </c>
      <c r="K23" s="280">
        <v>195</v>
      </c>
      <c r="L23" s="235">
        <v>0.41</v>
      </c>
      <c r="M23" s="232">
        <v>13</v>
      </c>
    </row>
    <row r="24" spans="1:15" ht="15.5" x14ac:dyDescent="0.35">
      <c r="A24" s="222" t="s">
        <v>55</v>
      </c>
      <c r="B24" s="280">
        <v>370</v>
      </c>
      <c r="C24" s="281" t="s">
        <v>109</v>
      </c>
      <c r="D24" s="282">
        <v>70</v>
      </c>
      <c r="E24" s="280">
        <v>80</v>
      </c>
      <c r="F24" s="281">
        <v>70</v>
      </c>
      <c r="G24" s="282">
        <v>50</v>
      </c>
      <c r="H24" s="283">
        <v>100</v>
      </c>
      <c r="I24" s="284">
        <v>145</v>
      </c>
      <c r="J24" s="280">
        <v>220</v>
      </c>
      <c r="K24" s="280">
        <v>150</v>
      </c>
      <c r="L24" s="235">
        <v>0.4</v>
      </c>
      <c r="M24" s="232">
        <v>13</v>
      </c>
    </row>
    <row r="25" spans="1:15" ht="15.5" x14ac:dyDescent="0.35">
      <c r="A25" s="222" t="s">
        <v>56</v>
      </c>
      <c r="B25" s="280">
        <v>390</v>
      </c>
      <c r="C25" s="281">
        <v>10</v>
      </c>
      <c r="D25" s="282">
        <v>95</v>
      </c>
      <c r="E25" s="280">
        <v>85</v>
      </c>
      <c r="F25" s="281">
        <v>60</v>
      </c>
      <c r="G25" s="282">
        <v>30</v>
      </c>
      <c r="H25" s="283">
        <v>110</v>
      </c>
      <c r="I25" s="284">
        <v>185</v>
      </c>
      <c r="J25" s="280">
        <v>245</v>
      </c>
      <c r="K25" s="280">
        <v>140</v>
      </c>
      <c r="L25" s="235">
        <v>0.48</v>
      </c>
      <c r="M25" s="232">
        <v>11</v>
      </c>
    </row>
    <row r="26" spans="1:15" ht="15.5" x14ac:dyDescent="0.35">
      <c r="A26" s="222" t="s">
        <v>57</v>
      </c>
      <c r="B26" s="280">
        <v>275</v>
      </c>
      <c r="C26" s="281">
        <v>0</v>
      </c>
      <c r="D26" s="282">
        <v>80</v>
      </c>
      <c r="E26" s="280">
        <v>70</v>
      </c>
      <c r="F26" s="281">
        <v>45</v>
      </c>
      <c r="G26" s="282">
        <v>30</v>
      </c>
      <c r="H26" s="283">
        <v>50</v>
      </c>
      <c r="I26" s="284">
        <v>145</v>
      </c>
      <c r="J26" s="280">
        <v>190</v>
      </c>
      <c r="K26" s="280">
        <v>85</v>
      </c>
      <c r="L26" s="235">
        <v>0.53</v>
      </c>
      <c r="M26" s="232">
        <v>10</v>
      </c>
    </row>
    <row r="27" spans="1:15" ht="15.5" x14ac:dyDescent="0.35">
      <c r="A27" s="222" t="s">
        <v>58</v>
      </c>
      <c r="B27" s="280">
        <v>210</v>
      </c>
      <c r="C27" s="281" t="s">
        <v>109</v>
      </c>
      <c r="D27" s="282">
        <v>30</v>
      </c>
      <c r="E27" s="280">
        <v>40</v>
      </c>
      <c r="F27" s="281">
        <v>35</v>
      </c>
      <c r="G27" s="282">
        <v>25</v>
      </c>
      <c r="H27" s="283">
        <v>75</v>
      </c>
      <c r="I27" s="284">
        <v>75</v>
      </c>
      <c r="J27" s="280">
        <v>110</v>
      </c>
      <c r="K27" s="280">
        <v>100</v>
      </c>
      <c r="L27" s="235">
        <v>0.36</v>
      </c>
      <c r="M27" s="232">
        <v>15</v>
      </c>
    </row>
    <row r="28" spans="1:15" ht="15.5" x14ac:dyDescent="0.35">
      <c r="A28" s="222" t="s">
        <v>59</v>
      </c>
      <c r="B28" s="280">
        <v>265</v>
      </c>
      <c r="C28" s="281" t="s">
        <v>109</v>
      </c>
      <c r="D28" s="282">
        <v>20</v>
      </c>
      <c r="E28" s="280">
        <v>35</v>
      </c>
      <c r="F28" s="281">
        <v>90</v>
      </c>
      <c r="G28" s="282">
        <v>55</v>
      </c>
      <c r="H28" s="283">
        <v>65</v>
      </c>
      <c r="I28" s="284">
        <v>55</v>
      </c>
      <c r="J28" s="280">
        <v>150</v>
      </c>
      <c r="K28" s="280">
        <v>115</v>
      </c>
      <c r="L28" s="235">
        <v>0.21</v>
      </c>
      <c r="M28" s="232">
        <v>15</v>
      </c>
    </row>
    <row r="29" spans="1:15" ht="15.5" x14ac:dyDescent="0.35">
      <c r="A29" s="222" t="s">
        <v>73</v>
      </c>
      <c r="B29" s="280">
        <v>260</v>
      </c>
      <c r="C29" s="281" t="s">
        <v>109</v>
      </c>
      <c r="D29" s="282">
        <v>15</v>
      </c>
      <c r="E29" s="280">
        <v>65</v>
      </c>
      <c r="F29" s="281">
        <v>65</v>
      </c>
      <c r="G29" s="282">
        <v>25</v>
      </c>
      <c r="H29" s="283">
        <v>90</v>
      </c>
      <c r="I29" s="284">
        <v>80</v>
      </c>
      <c r="J29" s="280">
        <v>145</v>
      </c>
      <c r="K29" s="280">
        <v>115</v>
      </c>
      <c r="L29" s="235">
        <v>0.31</v>
      </c>
      <c r="M29" s="232">
        <v>13</v>
      </c>
    </row>
    <row r="30" spans="1:15" ht="14.5" customHeight="1" x14ac:dyDescent="0.35">
      <c r="A30" s="181" t="s">
        <v>302</v>
      </c>
      <c r="B30" s="280">
        <v>345</v>
      </c>
      <c r="C30" s="281">
        <v>5</v>
      </c>
      <c r="D30" s="282">
        <v>70</v>
      </c>
      <c r="E30" s="280">
        <v>60</v>
      </c>
      <c r="F30" s="281">
        <v>50</v>
      </c>
      <c r="G30" s="282">
        <v>40</v>
      </c>
      <c r="H30" s="283">
        <v>120</v>
      </c>
      <c r="I30" s="284">
        <v>135</v>
      </c>
      <c r="J30" s="280">
        <v>185</v>
      </c>
      <c r="K30" s="280">
        <v>160</v>
      </c>
      <c r="L30" s="235">
        <v>0.39</v>
      </c>
      <c r="M30" s="232">
        <v>14</v>
      </c>
    </row>
    <row r="31" spans="1:15" ht="15.5" x14ac:dyDescent="0.35">
      <c r="A31" s="181" t="s">
        <v>303</v>
      </c>
      <c r="B31" s="280">
        <v>270</v>
      </c>
      <c r="C31" s="281">
        <v>0</v>
      </c>
      <c r="D31" s="282">
        <v>45</v>
      </c>
      <c r="E31" s="280">
        <v>60</v>
      </c>
      <c r="F31" s="281">
        <v>30</v>
      </c>
      <c r="G31" s="282">
        <v>40</v>
      </c>
      <c r="H31" s="283">
        <v>95</v>
      </c>
      <c r="I31" s="284">
        <v>105</v>
      </c>
      <c r="J31" s="280">
        <v>135</v>
      </c>
      <c r="K31" s="280">
        <v>135</v>
      </c>
      <c r="L31" s="235">
        <v>0.38</v>
      </c>
      <c r="M31" s="232">
        <v>15</v>
      </c>
      <c r="N31" s="4"/>
      <c r="O31" s="4"/>
    </row>
    <row r="32" spans="1:15" ht="15.5" x14ac:dyDescent="0.35">
      <c r="A32" s="223" t="s">
        <v>304</v>
      </c>
      <c r="B32" s="280">
        <v>240</v>
      </c>
      <c r="C32" s="281" t="s">
        <v>109</v>
      </c>
      <c r="D32" s="281" t="s">
        <v>109</v>
      </c>
      <c r="E32" s="281" t="s">
        <v>109</v>
      </c>
      <c r="F32" s="281">
        <v>95</v>
      </c>
      <c r="G32" s="282">
        <v>35</v>
      </c>
      <c r="H32" s="283">
        <v>105</v>
      </c>
      <c r="I32" s="284">
        <v>5</v>
      </c>
      <c r="J32" s="280">
        <v>100</v>
      </c>
      <c r="K32" s="280">
        <v>140</v>
      </c>
      <c r="L32" s="235">
        <v>0.02</v>
      </c>
      <c r="M32" s="232">
        <v>19</v>
      </c>
      <c r="N32" s="4"/>
      <c r="O32" s="4"/>
    </row>
    <row r="33" spans="1:15" ht="15.5" x14ac:dyDescent="0.35">
      <c r="A33" s="223" t="s">
        <v>317</v>
      </c>
      <c r="B33" s="280">
        <v>270</v>
      </c>
      <c r="C33" s="281">
        <v>5</v>
      </c>
      <c r="D33" s="282">
        <v>5</v>
      </c>
      <c r="E33" s="280">
        <v>5</v>
      </c>
      <c r="F33" s="281">
        <v>60</v>
      </c>
      <c r="G33" s="282">
        <v>80</v>
      </c>
      <c r="H33" s="283">
        <v>120</v>
      </c>
      <c r="I33" s="284">
        <v>10</v>
      </c>
      <c r="J33" s="280">
        <v>70</v>
      </c>
      <c r="K33" s="280">
        <v>200</v>
      </c>
      <c r="L33" s="235">
        <v>0.04</v>
      </c>
      <c r="M33" s="232">
        <v>19</v>
      </c>
      <c r="N33" s="4"/>
      <c r="O33" s="4"/>
    </row>
    <row r="34" spans="1:15" ht="15.5" x14ac:dyDescent="0.35">
      <c r="A34" s="223" t="s">
        <v>318</v>
      </c>
      <c r="B34" s="280">
        <v>285</v>
      </c>
      <c r="C34" s="281">
        <v>0</v>
      </c>
      <c r="D34" s="282">
        <v>5</v>
      </c>
      <c r="E34" s="280">
        <v>5</v>
      </c>
      <c r="F34" s="281" t="s">
        <v>109</v>
      </c>
      <c r="G34" s="282">
        <v>125</v>
      </c>
      <c r="H34" s="283">
        <v>150</v>
      </c>
      <c r="I34" s="284">
        <v>10</v>
      </c>
      <c r="J34" s="280">
        <v>10</v>
      </c>
      <c r="K34" s="280">
        <v>270</v>
      </c>
      <c r="L34" s="235">
        <v>0.03</v>
      </c>
      <c r="M34" s="232">
        <v>21</v>
      </c>
      <c r="N34" s="4"/>
      <c r="O34" s="4"/>
    </row>
    <row r="35" spans="1:15" ht="15" customHeight="1" x14ac:dyDescent="0.35">
      <c r="A35" s="181" t="s">
        <v>319</v>
      </c>
      <c r="B35" s="280">
        <v>475</v>
      </c>
      <c r="C35" s="281" t="s">
        <v>109</v>
      </c>
      <c r="D35" s="282">
        <v>5</v>
      </c>
      <c r="E35" s="280">
        <v>40</v>
      </c>
      <c r="F35" s="281">
        <v>65</v>
      </c>
      <c r="G35" s="282">
        <v>50</v>
      </c>
      <c r="H35" s="283">
        <v>315</v>
      </c>
      <c r="I35" s="284">
        <v>45</v>
      </c>
      <c r="J35" s="280">
        <v>110</v>
      </c>
      <c r="K35" s="280">
        <v>365</v>
      </c>
      <c r="L35" s="235">
        <v>0.1</v>
      </c>
      <c r="M35" s="232">
        <v>23</v>
      </c>
      <c r="N35" s="42"/>
      <c r="O35" s="42"/>
    </row>
    <row r="36" spans="1:15" ht="15" customHeight="1" x14ac:dyDescent="0.35">
      <c r="A36" s="181" t="s">
        <v>320</v>
      </c>
      <c r="B36" s="280">
        <v>420</v>
      </c>
      <c r="C36" s="281" t="s">
        <v>109</v>
      </c>
      <c r="D36" s="281" t="s">
        <v>109</v>
      </c>
      <c r="E36" s="280">
        <v>30</v>
      </c>
      <c r="F36" s="281">
        <v>125</v>
      </c>
      <c r="G36" s="282">
        <v>55</v>
      </c>
      <c r="H36" s="283">
        <v>205</v>
      </c>
      <c r="I36" s="284">
        <v>35</v>
      </c>
      <c r="J36" s="280">
        <v>160</v>
      </c>
      <c r="K36" s="280">
        <v>260</v>
      </c>
      <c r="L36" s="235">
        <v>0.08</v>
      </c>
      <c r="M36" s="232">
        <v>20</v>
      </c>
      <c r="N36" s="42"/>
      <c r="O36" s="42"/>
    </row>
    <row r="37" spans="1:15" ht="15" customHeight="1" x14ac:dyDescent="0.35">
      <c r="A37" s="181" t="s">
        <v>321</v>
      </c>
      <c r="B37" s="280">
        <v>410</v>
      </c>
      <c r="C37" s="281" t="s">
        <v>109</v>
      </c>
      <c r="D37" s="282">
        <v>5</v>
      </c>
      <c r="E37" s="280">
        <v>40</v>
      </c>
      <c r="F37" s="281">
        <v>85</v>
      </c>
      <c r="G37" s="282">
        <v>60</v>
      </c>
      <c r="H37" s="283">
        <v>220</v>
      </c>
      <c r="I37" s="284">
        <v>45</v>
      </c>
      <c r="J37" s="280">
        <v>130</v>
      </c>
      <c r="K37" s="280">
        <v>280</v>
      </c>
      <c r="L37" s="235">
        <v>0.11</v>
      </c>
      <c r="M37" s="232">
        <v>21</v>
      </c>
      <c r="N37" s="42"/>
      <c r="O37" s="42"/>
    </row>
    <row r="38" spans="1:15" ht="15" customHeight="1" x14ac:dyDescent="0.35">
      <c r="A38" s="181" t="s">
        <v>322</v>
      </c>
      <c r="B38" s="280">
        <v>275</v>
      </c>
      <c r="C38" s="281">
        <v>0</v>
      </c>
      <c r="D38" s="282">
        <v>5</v>
      </c>
      <c r="E38" s="281" t="s">
        <v>109</v>
      </c>
      <c r="F38" s="281">
        <v>30</v>
      </c>
      <c r="G38" s="282">
        <v>90</v>
      </c>
      <c r="H38" s="283">
        <v>150</v>
      </c>
      <c r="I38" s="284">
        <v>5</v>
      </c>
      <c r="J38" s="280">
        <v>35</v>
      </c>
      <c r="K38" s="280">
        <v>240</v>
      </c>
      <c r="L38" s="235">
        <v>0.02</v>
      </c>
      <c r="M38" s="232">
        <v>22</v>
      </c>
      <c r="N38" s="42"/>
      <c r="O38" s="42"/>
    </row>
    <row r="39" spans="1:15" ht="16" customHeight="1" x14ac:dyDescent="0.35">
      <c r="A39" s="181" t="s">
        <v>391</v>
      </c>
      <c r="B39" s="280">
        <v>305</v>
      </c>
      <c r="C39" s="281">
        <v>0</v>
      </c>
      <c r="D39" s="282">
        <v>5</v>
      </c>
      <c r="E39" s="280">
        <v>5</v>
      </c>
      <c r="F39" s="281" t="s">
        <v>109</v>
      </c>
      <c r="G39" s="282">
        <v>75</v>
      </c>
      <c r="H39" s="283">
        <v>220</v>
      </c>
      <c r="I39" s="284">
        <v>10</v>
      </c>
      <c r="J39" s="280">
        <v>10</v>
      </c>
      <c r="K39" s="280">
        <v>295</v>
      </c>
      <c r="L39" s="235">
        <v>0.03</v>
      </c>
      <c r="M39" s="232">
        <v>25</v>
      </c>
      <c r="N39" s="43"/>
      <c r="O39" s="43"/>
    </row>
    <row r="40" spans="1:15" ht="15.75" customHeight="1" x14ac:dyDescent="0.35">
      <c r="A40" s="181" t="s">
        <v>392</v>
      </c>
      <c r="B40" s="280">
        <v>405</v>
      </c>
      <c r="C40" s="281" t="s">
        <v>109</v>
      </c>
      <c r="D40" s="281" t="s">
        <v>109</v>
      </c>
      <c r="E40" s="280">
        <v>0</v>
      </c>
      <c r="F40" s="281" t="s">
        <v>109</v>
      </c>
      <c r="G40" s="282">
        <v>95</v>
      </c>
      <c r="H40" s="283">
        <v>305</v>
      </c>
      <c r="I40" s="284">
        <v>5</v>
      </c>
      <c r="J40" s="280">
        <v>5</v>
      </c>
      <c r="K40" s="280">
        <v>400</v>
      </c>
      <c r="L40" s="235">
        <v>0.01</v>
      </c>
      <c r="M40" s="232">
        <v>28</v>
      </c>
      <c r="N40" s="4"/>
      <c r="O40" s="4"/>
    </row>
    <row r="41" spans="1:15" ht="15.75" customHeight="1" x14ac:dyDescent="0.35">
      <c r="A41" s="181" t="s">
        <v>393</v>
      </c>
      <c r="B41" s="280">
        <v>375</v>
      </c>
      <c r="C41" s="281">
        <v>0</v>
      </c>
      <c r="D41" s="281" t="s">
        <v>109</v>
      </c>
      <c r="E41" s="281" t="s">
        <v>109</v>
      </c>
      <c r="F41" s="281">
        <v>70</v>
      </c>
      <c r="G41" s="282">
        <v>110</v>
      </c>
      <c r="H41" s="283">
        <v>190</v>
      </c>
      <c r="I41" s="281" t="s">
        <v>109</v>
      </c>
      <c r="J41" s="280">
        <v>75</v>
      </c>
      <c r="K41" s="280">
        <v>300</v>
      </c>
      <c r="L41" s="267" t="s">
        <v>109</v>
      </c>
      <c r="M41" s="232">
        <v>21</v>
      </c>
      <c r="N41" s="4"/>
      <c r="O41" s="4"/>
    </row>
    <row r="42" spans="1:15" ht="15.5" x14ac:dyDescent="0.35">
      <c r="A42" s="224" t="s">
        <v>410</v>
      </c>
      <c r="B42" s="280">
        <v>310</v>
      </c>
      <c r="C42" s="281">
        <v>0</v>
      </c>
      <c r="D42" s="281" t="s">
        <v>109</v>
      </c>
      <c r="E42" s="280">
        <v>5</v>
      </c>
      <c r="F42" s="281" t="s">
        <v>109</v>
      </c>
      <c r="G42" s="282">
        <v>95</v>
      </c>
      <c r="H42" s="283">
        <v>210</v>
      </c>
      <c r="I42" s="284">
        <v>5</v>
      </c>
      <c r="J42" s="280">
        <v>5</v>
      </c>
      <c r="K42" s="280">
        <v>305</v>
      </c>
      <c r="L42" s="235">
        <v>0.01</v>
      </c>
      <c r="M42" s="232">
        <v>22</v>
      </c>
      <c r="N42" s="43"/>
      <c r="O42" s="43"/>
    </row>
    <row r="43" spans="1:15" ht="15.75" customHeight="1" x14ac:dyDescent="0.35">
      <c r="A43" s="224" t="s">
        <v>411</v>
      </c>
      <c r="B43" s="280">
        <v>395</v>
      </c>
      <c r="C43" s="281">
        <v>0</v>
      </c>
      <c r="D43" s="282">
        <v>5</v>
      </c>
      <c r="E43" s="280">
        <v>80</v>
      </c>
      <c r="F43" s="281">
        <v>115</v>
      </c>
      <c r="G43" s="282">
        <v>50</v>
      </c>
      <c r="H43" s="283">
        <v>145</v>
      </c>
      <c r="I43" s="284">
        <v>85</v>
      </c>
      <c r="J43" s="280">
        <v>200</v>
      </c>
      <c r="K43" s="280">
        <v>195</v>
      </c>
      <c r="L43" s="235">
        <v>0.22</v>
      </c>
      <c r="M43" s="232">
        <v>15</v>
      </c>
      <c r="N43" s="41"/>
      <c r="O43" s="41"/>
    </row>
    <row r="44" spans="1:15" ht="15.75" customHeight="1" x14ac:dyDescent="0.35">
      <c r="A44" s="225" t="s">
        <v>412</v>
      </c>
      <c r="B44" s="285">
        <v>255</v>
      </c>
      <c r="C44" s="286">
        <v>0</v>
      </c>
      <c r="D44" s="281" t="s">
        <v>109</v>
      </c>
      <c r="E44" s="285">
        <v>5</v>
      </c>
      <c r="F44" s="281">
        <v>100</v>
      </c>
      <c r="G44" s="282">
        <v>35</v>
      </c>
      <c r="H44" s="287">
        <v>115</v>
      </c>
      <c r="I44" s="284">
        <v>5</v>
      </c>
      <c r="J44" s="280">
        <v>105</v>
      </c>
      <c r="K44" s="280">
        <v>150</v>
      </c>
      <c r="L44" s="238">
        <v>0.02</v>
      </c>
      <c r="M44" s="232">
        <v>19</v>
      </c>
    </row>
    <row r="45" spans="1:15" ht="15.5" x14ac:dyDescent="0.35">
      <c r="A45" s="68" t="s">
        <v>89</v>
      </c>
      <c r="B45" s="66">
        <v>1</v>
      </c>
      <c r="C45" s="66">
        <v>0.01</v>
      </c>
      <c r="D45" s="66">
        <v>0.09</v>
      </c>
      <c r="E45" s="66">
        <v>0.15</v>
      </c>
      <c r="F45" s="67">
        <v>0.18</v>
      </c>
      <c r="G45" s="226">
        <v>0.16</v>
      </c>
      <c r="H45" s="230">
        <v>0.41</v>
      </c>
      <c r="I45" s="113">
        <v>0.25</v>
      </c>
      <c r="J45" s="67">
        <v>0.43</v>
      </c>
      <c r="K45" s="234">
        <v>0.56999999999999995</v>
      </c>
      <c r="L45" s="233" t="s">
        <v>331</v>
      </c>
      <c r="M45" s="69" t="s">
        <v>331</v>
      </c>
    </row>
    <row r="46" spans="1:15" ht="15.75" customHeight="1" x14ac:dyDescent="0.35">
      <c r="A46" s="145" t="s">
        <v>8</v>
      </c>
      <c r="B46" s="60"/>
      <c r="C46" s="60"/>
      <c r="D46" s="60"/>
      <c r="E46" s="60"/>
      <c r="F46" s="60"/>
      <c r="G46" s="60"/>
      <c r="H46" s="60"/>
      <c r="I46" s="137"/>
      <c r="J46" s="137"/>
      <c r="K46" s="137"/>
      <c r="L46" s="42"/>
      <c r="M46" s="42"/>
    </row>
    <row r="47" spans="1:15" ht="15.5" x14ac:dyDescent="0.35">
      <c r="A47" s="45" t="s">
        <v>114</v>
      </c>
      <c r="B47" s="5"/>
      <c r="C47" s="5"/>
      <c r="D47" s="5"/>
      <c r="E47" s="5"/>
      <c r="F47" s="5"/>
      <c r="G47" s="5"/>
      <c r="H47" s="5"/>
      <c r="I47" s="5"/>
      <c r="J47" s="42"/>
      <c r="K47" s="42"/>
      <c r="L47" s="288"/>
      <c r="M47" s="42"/>
    </row>
    <row r="48" spans="1:15" ht="174.75" customHeight="1" x14ac:dyDescent="0.35">
      <c r="A48" s="182" t="s">
        <v>417</v>
      </c>
      <c r="B48" s="43"/>
      <c r="C48" s="43"/>
      <c r="D48" s="43"/>
      <c r="E48" s="43"/>
      <c r="F48" s="5"/>
      <c r="G48" s="43"/>
      <c r="H48" s="43"/>
      <c r="I48" s="43"/>
      <c r="J48" s="43"/>
      <c r="K48" s="43"/>
      <c r="L48" s="43"/>
      <c r="M48" s="43"/>
    </row>
    <row r="49" spans="1:13" ht="15.5" x14ac:dyDescent="0.35">
      <c r="A49" s="34" t="s">
        <v>90</v>
      </c>
      <c r="B49" s="4"/>
      <c r="C49" s="4"/>
      <c r="D49" s="4"/>
      <c r="E49" s="4"/>
      <c r="F49" s="4"/>
      <c r="G49" s="4"/>
      <c r="H49" s="4"/>
      <c r="I49" s="4"/>
      <c r="J49" s="4"/>
      <c r="K49" s="4"/>
      <c r="L49" s="4"/>
      <c r="M49" s="4"/>
    </row>
    <row r="50" spans="1:13" ht="15.5" x14ac:dyDescent="0.35">
      <c r="A50" s="34" t="s">
        <v>311</v>
      </c>
      <c r="B50" s="4"/>
      <c r="C50" s="4"/>
      <c r="D50" s="4"/>
      <c r="E50" s="4"/>
      <c r="F50" s="4"/>
      <c r="G50" s="4"/>
      <c r="H50" s="4"/>
      <c r="I50" s="4"/>
      <c r="J50" s="4"/>
      <c r="K50" s="4"/>
      <c r="L50" s="4"/>
      <c r="M50" s="4"/>
    </row>
    <row r="51" spans="1:13" ht="15.5" x14ac:dyDescent="0.35">
      <c r="A51" s="34" t="s">
        <v>312</v>
      </c>
      <c r="B51" s="43"/>
      <c r="C51" s="43"/>
      <c r="D51" s="43"/>
      <c r="E51" s="43"/>
      <c r="F51" s="43"/>
      <c r="G51" s="43"/>
      <c r="H51" s="43"/>
      <c r="I51" s="43"/>
      <c r="J51" s="43"/>
      <c r="K51" s="43"/>
      <c r="L51" s="43"/>
      <c r="M51" s="43"/>
    </row>
    <row r="52" spans="1:13" ht="15.5" x14ac:dyDescent="0.35">
      <c r="A52" s="38" t="s">
        <v>93</v>
      </c>
      <c r="B52" s="41"/>
      <c r="C52" s="41"/>
      <c r="D52" s="41"/>
      <c r="E52" s="41"/>
      <c r="F52" s="41"/>
      <c r="G52" s="41"/>
      <c r="H52" s="41"/>
      <c r="I52" s="41"/>
      <c r="J52" s="41"/>
      <c r="K52" s="41"/>
      <c r="L52" s="41"/>
      <c r="M52" s="41"/>
    </row>
  </sheetData>
  <conditionalFormatting sqref="B45:K45 L8:L26 L30 L32:L37 L42:L44">
    <cfRule type="dataBar" priority="8">
      <dataBar>
        <cfvo type="num" val="0"/>
        <cfvo type="num" val="1"/>
        <color rgb="FFB4A9D4"/>
      </dataBar>
      <extLst>
        <ext xmlns:x14="http://schemas.microsoft.com/office/spreadsheetml/2009/9/main" uri="{B025F937-C7B1-47D3-B67F-A62EFF666E3E}">
          <x14:id>{B4E0A02A-3839-4C14-83B5-0ADA35B689D7}</x14:id>
        </ext>
      </extLst>
    </cfRule>
  </conditionalFormatting>
  <conditionalFormatting sqref="L7">
    <cfRule type="dataBar" priority="6">
      <dataBar>
        <cfvo type="num" val="0"/>
        <cfvo type="num" val="1"/>
        <color rgb="FFB4A9D4"/>
      </dataBar>
      <extLst>
        <ext xmlns:x14="http://schemas.microsoft.com/office/spreadsheetml/2009/9/main" uri="{B025F937-C7B1-47D3-B67F-A62EFF666E3E}">
          <x14:id>{6713556A-D54E-4B66-A30C-995444EFC570}</x14:id>
        </ext>
      </extLst>
    </cfRule>
  </conditionalFormatting>
  <conditionalFormatting sqref="L27:L29">
    <cfRule type="dataBar" priority="5">
      <dataBar>
        <cfvo type="num" val="0"/>
        <cfvo type="num" val="1"/>
        <color rgb="FFB4A9D4"/>
      </dataBar>
      <extLst>
        <ext xmlns:x14="http://schemas.microsoft.com/office/spreadsheetml/2009/9/main" uri="{B025F937-C7B1-47D3-B67F-A62EFF666E3E}">
          <x14:id>{10613359-61B2-44FA-B2CE-4DE65C604E9F}</x14:id>
        </ext>
      </extLst>
    </cfRule>
  </conditionalFormatting>
  <conditionalFormatting sqref="L31">
    <cfRule type="dataBar" priority="4">
      <dataBar>
        <cfvo type="num" val="0"/>
        <cfvo type="num" val="1"/>
        <color rgb="FFB4A9D4"/>
      </dataBar>
      <extLst>
        <ext xmlns:x14="http://schemas.microsoft.com/office/spreadsheetml/2009/9/main" uri="{B025F937-C7B1-47D3-B67F-A62EFF666E3E}">
          <x14:id>{8BC783CD-CEE1-4A85-9143-0D7D7E81318A}</x14:id>
        </ext>
      </extLst>
    </cfRule>
  </conditionalFormatting>
  <conditionalFormatting sqref="L38:L41">
    <cfRule type="dataBar" priority="1">
      <dataBar>
        <cfvo type="num" val="0"/>
        <cfvo type="num" val="1"/>
        <color rgb="FFB4A9D4"/>
      </dataBar>
      <extLst>
        <ext xmlns:x14="http://schemas.microsoft.com/office/spreadsheetml/2009/9/main" uri="{B025F937-C7B1-47D3-B67F-A62EFF666E3E}">
          <x14:id>{7F62FB44-43A8-4B8A-8A9B-E1AED92700E5}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4E0A02A-3839-4C14-83B5-0ADA35B689D7}">
            <x14:dataBar minLength="0" maxLength="100" gradient="0">
              <x14:cfvo type="num">
                <xm:f>0</xm:f>
              </x14:cfvo>
              <x14:cfvo type="num">
                <xm:f>1</xm:f>
              </x14:cfvo>
              <x14:negativeFillColor rgb="FFFF0000"/>
              <x14:axisColor rgb="FF000000"/>
            </x14:dataBar>
          </x14:cfRule>
          <xm:sqref>B45:K45 L8:L26 L30 L32:L37 L42:L44</xm:sqref>
        </x14:conditionalFormatting>
        <x14:conditionalFormatting xmlns:xm="http://schemas.microsoft.com/office/excel/2006/main">
          <x14:cfRule type="dataBar" id="{6713556A-D54E-4B66-A30C-995444EFC570}">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10613359-61B2-44FA-B2CE-4DE65C604E9F}">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8BC783CD-CEE1-4A85-9143-0D7D7E81318A}">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7F62FB44-43A8-4B8A-8A9B-E1AED92700E5}">
            <x14:dataBar minLength="0" maxLength="100" gradient="0">
              <x14:cfvo type="num">
                <xm:f>0</xm:f>
              </x14:cfvo>
              <x14:cfvo type="num">
                <xm:f>1</xm:f>
              </x14:cfvo>
              <x14:negativeFillColor rgb="FFFF0000"/>
              <x14:axisColor rgb="FF000000"/>
            </x14:dataBar>
          </x14:cfRule>
          <xm:sqref>L38:L41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8" zoomScaleNormal="100" workbookViewId="0"/>
  </sheetViews>
  <sheetFormatPr defaultRowHeight="14.5" x14ac:dyDescent="0.35"/>
  <cols>
    <col min="1" max="1" width="40.7265625" customWidth="1"/>
    <col min="2" max="2" width="27.26953125" customWidth="1"/>
    <col min="3" max="3" width="19.54296875" customWidth="1"/>
    <col min="4" max="4" width="16.453125" customWidth="1"/>
    <col min="6" max="6" width="10.81640625" customWidth="1"/>
    <col min="10" max="10" width="14.453125" customWidth="1"/>
    <col min="11" max="11" width="14.54296875" customWidth="1"/>
  </cols>
  <sheetData>
    <row r="1" spans="1:8" ht="21" x14ac:dyDescent="0.5">
      <c r="A1" s="44" t="s">
        <v>94</v>
      </c>
      <c r="B1" s="44"/>
    </row>
    <row r="2" spans="1:8" ht="15.5" x14ac:dyDescent="0.35">
      <c r="A2" s="45" t="s">
        <v>316</v>
      </c>
      <c r="B2" s="46"/>
    </row>
    <row r="3" spans="1:8" ht="15.5" x14ac:dyDescent="0.35">
      <c r="A3" s="26" t="s">
        <v>295</v>
      </c>
      <c r="B3" s="46"/>
    </row>
    <row r="4" spans="1:8" ht="15.5" x14ac:dyDescent="0.35">
      <c r="A4" s="132" t="s">
        <v>300</v>
      </c>
      <c r="B4" s="46"/>
    </row>
    <row r="5" spans="1:8" ht="15.5" x14ac:dyDescent="0.35">
      <c r="A5" s="132" t="s">
        <v>301</v>
      </c>
      <c r="B5" s="46"/>
    </row>
    <row r="6" spans="1:8" ht="15.5" x14ac:dyDescent="0.35">
      <c r="A6" s="26" t="s">
        <v>306</v>
      </c>
      <c r="B6" s="46"/>
    </row>
    <row r="7" spans="1:8" ht="31" x14ac:dyDescent="0.35">
      <c r="A7" s="183" t="s">
        <v>77</v>
      </c>
      <c r="B7" s="32" t="s">
        <v>78</v>
      </c>
      <c r="C7" s="61"/>
    </row>
    <row r="8" spans="1:8" ht="48.5" x14ac:dyDescent="0.35">
      <c r="A8" s="49" t="s">
        <v>422</v>
      </c>
      <c r="B8" s="100" t="s">
        <v>307</v>
      </c>
      <c r="C8" s="50" t="s">
        <v>423</v>
      </c>
      <c r="D8" s="70" t="s">
        <v>367</v>
      </c>
    </row>
    <row r="9" spans="1:8" ht="15.5" x14ac:dyDescent="0.35">
      <c r="A9" s="62" t="str">
        <f>"Total "&amp;$B$7</f>
        <v>Total All time</v>
      </c>
      <c r="B9" s="186">
        <f>VLOOKUP($A9, 'Table 7 Full data'!$A$1:$D$1005, 2, FALSE)</f>
        <v>7420</v>
      </c>
      <c r="C9" s="93">
        <f>VLOOKUP($A9, 'Table 7 Full data'!$A$1:$D$1005, 3, FALSE)</f>
        <v>2290934</v>
      </c>
      <c r="D9" s="64">
        <f>VLOOKUP($A9, 'Table 7 Full data'!$A$1:$D$1005, 4, FALSE)</f>
        <v>1</v>
      </c>
      <c r="F9" s="151"/>
      <c r="G9" s="151"/>
      <c r="H9" s="151"/>
    </row>
    <row r="10" spans="1:8" ht="15.5" x14ac:dyDescent="0.35">
      <c r="A10" s="71" t="str">
        <f>"Aberdeen City " &amp;$B$7</f>
        <v>Aberdeen City All time</v>
      </c>
      <c r="B10" s="185">
        <f>VLOOKUP($A10, 'Table 7 Full data'!$A$1:$D$1005, 2, FALSE)</f>
        <v>105</v>
      </c>
      <c r="C10" s="72">
        <f>VLOOKUP($A10, 'Table 7 Full data'!$A$1:$D$1005, 3, FALSE)</f>
        <v>32347</v>
      </c>
      <c r="D10" s="55">
        <f>VLOOKUP($A10, 'Table 7 Full data'!$A$1:$D$1005, 4, FALSE)</f>
        <v>0.01</v>
      </c>
      <c r="F10" s="151"/>
      <c r="G10" s="151"/>
      <c r="H10" s="151"/>
    </row>
    <row r="11" spans="1:8" ht="15.5" x14ac:dyDescent="0.35">
      <c r="A11" s="71" t="str">
        <f>"Aberdeenshire "&amp;$B$7</f>
        <v>Aberdeenshire All time</v>
      </c>
      <c r="B11" s="185">
        <f>VLOOKUP($A11, 'Table 7 Full data'!$A$1:$D$1005, 2, FALSE)</f>
        <v>125</v>
      </c>
      <c r="C11" s="72">
        <f>VLOOKUP($A11, 'Table 7 Full data'!$A$1:$D$1005, 3, FALSE)</f>
        <v>38928</v>
      </c>
      <c r="D11" s="36">
        <f>VLOOKUP($A11, 'Table 7 Full data'!$A$1:$D$1005, 4, FALSE)</f>
        <v>0.02</v>
      </c>
      <c r="F11" s="151"/>
      <c r="G11" s="151"/>
      <c r="H11" s="151"/>
    </row>
    <row r="12" spans="1:8" ht="15.5" x14ac:dyDescent="0.35">
      <c r="A12" s="71" t="str">
        <f>"Angus "&amp;$B$7</f>
        <v>Angus All time</v>
      </c>
      <c r="B12" s="185">
        <f>VLOOKUP($A12, 'Table 7 Full data'!$A$1:$D$1005, 2, FALSE)</f>
        <v>205</v>
      </c>
      <c r="C12" s="72">
        <f>VLOOKUP($A12, 'Table 7 Full data'!$A$1:$D$1005, 3, FALSE)</f>
        <v>63044</v>
      </c>
      <c r="D12" s="55">
        <f>VLOOKUP($A12, 'Table 7 Full data'!$A$1:$D$1005, 4, FALSE)</f>
        <v>0.03</v>
      </c>
      <c r="F12" s="151"/>
      <c r="G12" s="151"/>
      <c r="H12" s="151"/>
    </row>
    <row r="13" spans="1:8" ht="15.5" x14ac:dyDescent="0.35">
      <c r="A13" s="71" t="str">
        <f>"Argyll and Bute "&amp;$B$7</f>
        <v>Argyll and Bute All time</v>
      </c>
      <c r="B13" s="185">
        <f>VLOOKUP($A13, 'Table 7 Full data'!$A$1:$D$1005, 2, FALSE)</f>
        <v>180</v>
      </c>
      <c r="C13" s="72">
        <f>VLOOKUP($A13, 'Table 7 Full data'!$A$1:$D$1005, 3, FALSE)</f>
        <v>55619</v>
      </c>
      <c r="D13" s="36">
        <f>VLOOKUP($A13, 'Table 7 Full data'!$A$1:$D$1005, 4, FALSE)</f>
        <v>0.02</v>
      </c>
      <c r="F13" s="151"/>
      <c r="G13" s="151"/>
      <c r="H13" s="151"/>
    </row>
    <row r="14" spans="1:8" ht="15.5" x14ac:dyDescent="0.35">
      <c r="A14" s="71" t="str">
        <f>"Clackmannanshire "&amp;$B$7</f>
        <v>Clackmannanshire All time</v>
      </c>
      <c r="B14" s="185">
        <f>VLOOKUP($A14, 'Table 7 Full data'!$A$1:$D$1005, 2, FALSE)</f>
        <v>85</v>
      </c>
      <c r="C14" s="72">
        <f>VLOOKUP($A14, 'Table 7 Full data'!$A$1:$D$1005, 3, FALSE)</f>
        <v>26290</v>
      </c>
      <c r="D14" s="55">
        <f>VLOOKUP($A14, 'Table 7 Full data'!$A$1:$D$1005, 4, FALSE)</f>
        <v>0.01</v>
      </c>
      <c r="F14" s="151"/>
      <c r="G14" s="151"/>
      <c r="H14" s="151"/>
    </row>
    <row r="15" spans="1:8" ht="15.5" x14ac:dyDescent="0.35">
      <c r="A15" s="71" t="str">
        <f>"Dumfries and Galloway "&amp;$B$7</f>
        <v>Dumfries and Galloway All time</v>
      </c>
      <c r="B15" s="185">
        <f>VLOOKUP($A15, 'Table 7 Full data'!$A$1:$D$1005, 2, FALSE)</f>
        <v>265</v>
      </c>
      <c r="C15" s="72">
        <f>VLOOKUP($A15, 'Table 7 Full data'!$A$1:$D$1005, 3, FALSE)</f>
        <v>81388</v>
      </c>
      <c r="D15" s="36">
        <f>VLOOKUP($A15, 'Table 7 Full data'!$A$1:$D$1005, 4, FALSE)</f>
        <v>0.04</v>
      </c>
      <c r="F15" s="151"/>
      <c r="G15" s="151"/>
      <c r="H15" s="151"/>
    </row>
    <row r="16" spans="1:8" ht="15.5" x14ac:dyDescent="0.35">
      <c r="A16" s="71" t="str">
        <f>"Dundee City "&amp;$B$7</f>
        <v>Dundee City All time</v>
      </c>
      <c r="B16" s="185">
        <f>VLOOKUP($A16, 'Table 7 Full data'!$A$1:$D$1005, 2, FALSE)</f>
        <v>280</v>
      </c>
      <c r="C16" s="72">
        <f>VLOOKUP($A16, 'Table 7 Full data'!$A$1:$D$1005, 3, FALSE)</f>
        <v>86820</v>
      </c>
      <c r="D16" s="55">
        <f>VLOOKUP($A16, 'Table 7 Full data'!$A$1:$D$1005, 4, FALSE)</f>
        <v>0.04</v>
      </c>
      <c r="F16" s="151"/>
      <c r="G16" s="151"/>
      <c r="H16" s="151"/>
    </row>
    <row r="17" spans="1:8" ht="15.5" x14ac:dyDescent="0.35">
      <c r="A17" s="71" t="str">
        <f>"East Ayrshire "&amp;$B$7</f>
        <v>East Ayrshire All time</v>
      </c>
      <c r="B17" s="185">
        <f>VLOOKUP($A17, 'Table 7 Full data'!$A$1:$D$1005, 2, FALSE)</f>
        <v>240</v>
      </c>
      <c r="C17" s="72">
        <f>VLOOKUP($A17, 'Table 7 Full data'!$A$1:$D$1005, 3, FALSE)</f>
        <v>73951</v>
      </c>
      <c r="D17" s="36">
        <f>VLOOKUP($A17, 'Table 7 Full data'!$A$1:$D$1005, 4, FALSE)</f>
        <v>0.03</v>
      </c>
      <c r="F17" s="151"/>
      <c r="G17" s="151"/>
      <c r="H17" s="151"/>
    </row>
    <row r="18" spans="1:8" ht="15.5" x14ac:dyDescent="0.35">
      <c r="A18" s="71" t="str">
        <f>"East Dunbartonshire "&amp;$B$7</f>
        <v>East Dunbartonshire All time</v>
      </c>
      <c r="B18" s="185">
        <f>VLOOKUP($A18, 'Table 7 Full data'!$A$1:$D$1005, 2, FALSE)</f>
        <v>175</v>
      </c>
      <c r="C18" s="72">
        <f>VLOOKUP($A18, 'Table 7 Full data'!$A$1:$D$1005, 3, FALSE)</f>
        <v>54546</v>
      </c>
      <c r="D18" s="55">
        <f>VLOOKUP($A18, 'Table 7 Full data'!$A$1:$D$1005, 4, FALSE)</f>
        <v>0.02</v>
      </c>
      <c r="F18" s="151"/>
      <c r="G18" s="151"/>
      <c r="H18" s="151"/>
    </row>
    <row r="19" spans="1:8" ht="15.5" x14ac:dyDescent="0.35">
      <c r="A19" s="71" t="str">
        <f>"East Lothian "&amp;$B$7</f>
        <v>East Lothian All time</v>
      </c>
      <c r="B19" s="185">
        <f>VLOOKUP($A19, 'Table 7 Full data'!$A$1:$D$1005, 2, FALSE)</f>
        <v>105</v>
      </c>
      <c r="C19" s="72">
        <f>VLOOKUP($A19, 'Table 7 Full data'!$A$1:$D$1005, 3, FALSE)</f>
        <v>31899</v>
      </c>
      <c r="D19" s="36">
        <f>VLOOKUP($A19, 'Table 7 Full data'!$A$1:$D$1005, 4, FALSE)</f>
        <v>0.01</v>
      </c>
      <c r="F19" s="151"/>
      <c r="G19" s="151"/>
      <c r="H19" s="151"/>
    </row>
    <row r="20" spans="1:8" ht="15.5" x14ac:dyDescent="0.35">
      <c r="A20" s="71" t="str">
        <f>"East Renfrewshire "&amp;$B$7</f>
        <v>East Renfrewshire All time</v>
      </c>
      <c r="B20" s="185">
        <f>VLOOKUP($A20, 'Table 7 Full data'!$A$1:$D$1005, 2, FALSE)</f>
        <v>170</v>
      </c>
      <c r="C20" s="72">
        <f>VLOOKUP($A20, 'Table 7 Full data'!$A$1:$D$1005, 3, FALSE)</f>
        <v>52971</v>
      </c>
      <c r="D20" s="55">
        <f>VLOOKUP($A20, 'Table 7 Full data'!$A$1:$D$1005, 4, FALSE)</f>
        <v>0.02</v>
      </c>
      <c r="F20" s="151"/>
      <c r="G20" s="151"/>
      <c r="H20" s="151"/>
    </row>
    <row r="21" spans="1:8" ht="15.5" x14ac:dyDescent="0.35">
      <c r="A21" s="71" t="str">
        <f>"Edinburgh, City of "&amp;$B$7</f>
        <v>Edinburgh, City of All time</v>
      </c>
      <c r="B21" s="185">
        <f>VLOOKUP($A21, 'Table 7 Full data'!$A$1:$D$1005, 2, FALSE)</f>
        <v>275</v>
      </c>
      <c r="C21" s="72">
        <f>VLOOKUP($A21, 'Table 7 Full data'!$A$1:$D$1005, 3, FALSE)</f>
        <v>85567</v>
      </c>
      <c r="D21" s="36">
        <f>VLOOKUP($A21, 'Table 7 Full data'!$A$1:$D$1005, 4, FALSE)</f>
        <v>0.04</v>
      </c>
      <c r="F21" s="151"/>
      <c r="G21" s="151"/>
      <c r="H21" s="151"/>
    </row>
    <row r="22" spans="1:8" ht="15.5" x14ac:dyDescent="0.35">
      <c r="A22" s="71" t="str">
        <f>"Falkirk "&amp;$B$7</f>
        <v>Falkirk All time</v>
      </c>
      <c r="B22" s="185">
        <f>VLOOKUP($A22, 'Table 7 Full data'!$A$1:$D$1005, 2, FALSE)</f>
        <v>235</v>
      </c>
      <c r="C22" s="72">
        <f>VLOOKUP($A22, 'Table 7 Full data'!$A$1:$D$1005, 3, FALSE)</f>
        <v>72730</v>
      </c>
      <c r="D22" s="55">
        <f>VLOOKUP($A22, 'Table 7 Full data'!$A$1:$D$1005, 4, FALSE)</f>
        <v>0.03</v>
      </c>
      <c r="F22" s="151"/>
      <c r="G22" s="151"/>
      <c r="H22" s="151"/>
    </row>
    <row r="23" spans="1:8" ht="15.5" x14ac:dyDescent="0.35">
      <c r="A23" s="71" t="str">
        <f>"Fife "&amp;$B$7</f>
        <v>Fife All time</v>
      </c>
      <c r="B23" s="185">
        <f>VLOOKUP($A23, 'Table 7 Full data'!$A$1:$D$1005, 2, FALSE)</f>
        <v>540</v>
      </c>
      <c r="C23" s="72">
        <f>VLOOKUP($A23, 'Table 7 Full data'!$A$1:$D$1005, 3, FALSE)</f>
        <v>166605</v>
      </c>
      <c r="D23" s="36">
        <f>VLOOKUP($A23, 'Table 7 Full data'!$A$1:$D$1005, 4, FALSE)</f>
        <v>7.0000000000000007E-2</v>
      </c>
      <c r="F23" s="151"/>
      <c r="G23" s="151"/>
      <c r="H23" s="151"/>
    </row>
    <row r="24" spans="1:8" ht="15.5" x14ac:dyDescent="0.35">
      <c r="A24" s="71" t="str">
        <f>"Glasgow City "&amp;$B$7</f>
        <v>Glasgow City All time</v>
      </c>
      <c r="B24" s="185">
        <f>VLOOKUP($A24, 'Table 7 Full data'!$A$1:$D$1005, 2, FALSE)</f>
        <v>1095</v>
      </c>
      <c r="C24" s="72">
        <f>VLOOKUP($A24, 'Table 7 Full data'!$A$1:$D$1005, 3, FALSE)</f>
        <v>337952</v>
      </c>
      <c r="D24" s="55">
        <f>VLOOKUP($A24, 'Table 7 Full data'!$A$1:$D$1005, 4, FALSE)</f>
        <v>0.15</v>
      </c>
      <c r="F24" s="151"/>
      <c r="G24" s="151"/>
      <c r="H24" s="151"/>
    </row>
    <row r="25" spans="1:8" ht="15.5" x14ac:dyDescent="0.35">
      <c r="A25" s="71" t="str">
        <f>"Highland "&amp;$B$7</f>
        <v>Highland All time</v>
      </c>
      <c r="B25" s="185">
        <f>VLOOKUP($A25, 'Table 7 Full data'!$A$1:$D$1005, 2, FALSE)</f>
        <v>270</v>
      </c>
      <c r="C25" s="72">
        <f>VLOOKUP($A25, 'Table 7 Full data'!$A$1:$D$1005, 3, FALSE)</f>
        <v>83508</v>
      </c>
      <c r="D25" s="36">
        <f>VLOOKUP($A25, 'Table 7 Full data'!$A$1:$D$1005, 4, FALSE)</f>
        <v>0.04</v>
      </c>
      <c r="F25" s="151"/>
      <c r="G25" s="151"/>
      <c r="H25" s="151"/>
    </row>
    <row r="26" spans="1:8" ht="15.5" x14ac:dyDescent="0.35">
      <c r="A26" s="71" t="str">
        <f>"Inverclyde "&amp;$B$7</f>
        <v>Inverclyde All time</v>
      </c>
      <c r="B26" s="185">
        <f>VLOOKUP($A26, 'Table 7 Full data'!$A$1:$D$1005, 2, FALSE)</f>
        <v>250</v>
      </c>
      <c r="C26" s="72">
        <f>VLOOKUP($A26, 'Table 7 Full data'!$A$1:$D$1005, 3, FALSE)</f>
        <v>76591</v>
      </c>
      <c r="D26" s="55">
        <f>VLOOKUP($A26, 'Table 7 Full data'!$A$1:$D$1005, 4, FALSE)</f>
        <v>0.03</v>
      </c>
      <c r="F26" s="151"/>
      <c r="G26" s="151"/>
      <c r="H26" s="151"/>
    </row>
    <row r="27" spans="1:8" ht="15.5" x14ac:dyDescent="0.35">
      <c r="A27" s="71" t="str">
        <f>"Midlothian "&amp;$B$7</f>
        <v>Midlothian All time</v>
      </c>
      <c r="B27" s="185">
        <f>VLOOKUP($A27, 'Table 7 Full data'!$A$1:$D$1005, 2, FALSE)</f>
        <v>115</v>
      </c>
      <c r="C27" s="72">
        <f>VLOOKUP($A27, 'Table 7 Full data'!$A$1:$D$1005, 3, FALSE)</f>
        <v>35401</v>
      </c>
      <c r="D27" s="36">
        <f>VLOOKUP($A27, 'Table 7 Full data'!$A$1:$D$1005, 4, FALSE)</f>
        <v>0.02</v>
      </c>
      <c r="F27" s="151"/>
      <c r="G27" s="151"/>
      <c r="H27" s="151"/>
    </row>
    <row r="28" spans="1:8" ht="15.5" x14ac:dyDescent="0.35">
      <c r="A28" s="71" t="str">
        <f>"Moray "&amp;$B$7</f>
        <v>Moray All time</v>
      </c>
      <c r="B28" s="185">
        <f>VLOOKUP($A28, 'Table 7 Full data'!$A$1:$D$1005, 2, FALSE)</f>
        <v>65</v>
      </c>
      <c r="C28" s="72">
        <f>VLOOKUP($A28, 'Table 7 Full data'!$A$1:$D$1005, 3, FALSE)</f>
        <v>20602</v>
      </c>
      <c r="D28" s="55">
        <f>VLOOKUP($A28, 'Table 7 Full data'!$A$1:$D$1005, 4, FALSE)</f>
        <v>0.01</v>
      </c>
      <c r="F28" s="151"/>
      <c r="G28" s="151"/>
      <c r="H28" s="151"/>
    </row>
    <row r="29" spans="1:8" ht="15.5" x14ac:dyDescent="0.35">
      <c r="A29" s="71" t="str">
        <f>"Na h-Eileanan Siar "&amp;$B$7</f>
        <v>Na h-Eileanan Siar All time</v>
      </c>
      <c r="B29" s="185">
        <f>VLOOKUP($A29, 'Table 7 Full data'!$A$1:$D$1005, 2, FALSE)</f>
        <v>25</v>
      </c>
      <c r="C29" s="72">
        <f>VLOOKUP($A29, 'Table 7 Full data'!$A$1:$D$1005, 3, FALSE)</f>
        <v>7678</v>
      </c>
      <c r="D29" s="36">
        <f>VLOOKUP($A29, 'Table 7 Full data'!$A$1:$D$1005, 4, FALSE)</f>
        <v>0</v>
      </c>
      <c r="F29" s="151"/>
      <c r="G29" s="151"/>
      <c r="H29" s="151"/>
    </row>
    <row r="30" spans="1:8" ht="15.5" x14ac:dyDescent="0.35">
      <c r="A30" s="71" t="str">
        <f>"North Ayrshire "&amp;$B$7</f>
        <v>North Ayrshire All time</v>
      </c>
      <c r="B30" s="185">
        <f>VLOOKUP($A30, 'Table 7 Full data'!$A$1:$D$1005, 2, FALSE)</f>
        <v>280</v>
      </c>
      <c r="C30" s="72">
        <f>VLOOKUP($A30, 'Table 7 Full data'!$A$1:$D$1005, 3, FALSE)</f>
        <v>86607</v>
      </c>
      <c r="D30" s="55">
        <f>VLOOKUP($A30, 'Table 7 Full data'!$A$1:$D$1005, 4, FALSE)</f>
        <v>0.04</v>
      </c>
      <c r="F30" s="151"/>
      <c r="G30" s="151"/>
      <c r="H30" s="151"/>
    </row>
    <row r="31" spans="1:8" ht="15.5" x14ac:dyDescent="0.35">
      <c r="A31" s="71" t="str">
        <f>"North Lanarkshire "&amp;$B$7</f>
        <v>North Lanarkshire All time</v>
      </c>
      <c r="B31" s="185">
        <f>VLOOKUP($A31, 'Table 7 Full data'!$A$1:$D$1005, 2, FALSE)</f>
        <v>605</v>
      </c>
      <c r="C31" s="72">
        <f>VLOOKUP($A31, 'Table 7 Full data'!$A$1:$D$1005, 3, FALSE)</f>
        <v>187156</v>
      </c>
      <c r="D31" s="36">
        <f>VLOOKUP($A31, 'Table 7 Full data'!$A$1:$D$1005, 4, FALSE)</f>
        <v>0.08</v>
      </c>
      <c r="F31" s="151"/>
      <c r="G31" s="151"/>
      <c r="H31" s="151"/>
    </row>
    <row r="32" spans="1:8" ht="15.5" x14ac:dyDescent="0.35">
      <c r="A32" s="71" t="str">
        <f>"Orkney Islands "&amp;$B$7</f>
        <v>Orkney Islands All time</v>
      </c>
      <c r="B32" s="185">
        <f>VLOOKUP($A32, 'Table 7 Full data'!$A$1:$D$1005, 2, FALSE)</f>
        <v>10</v>
      </c>
      <c r="C32" s="72">
        <f>VLOOKUP($A32, 'Table 7 Full data'!$A$1:$D$1005, 3, FALSE)</f>
        <v>3388</v>
      </c>
      <c r="D32" s="55">
        <f>VLOOKUP($A32, 'Table 7 Full data'!$A$1:$D$1005, 4, FALSE)</f>
        <v>0</v>
      </c>
      <c r="F32" s="151"/>
      <c r="G32" s="151"/>
      <c r="H32" s="151"/>
    </row>
    <row r="33" spans="1:8" ht="15.5" x14ac:dyDescent="0.35">
      <c r="A33" s="71" t="str">
        <f>"Perth and Kinross "&amp;$B$7</f>
        <v>Perth and Kinross All time</v>
      </c>
      <c r="B33" s="185">
        <f>VLOOKUP($A33, 'Table 7 Full data'!$A$1:$D$1005, 2, FALSE)</f>
        <v>220</v>
      </c>
      <c r="C33" s="72">
        <f>VLOOKUP($A33, 'Table 7 Full data'!$A$1:$D$1005, 3, FALSE)</f>
        <v>67647</v>
      </c>
      <c r="D33" s="36">
        <f>VLOOKUP($A33, 'Table 7 Full data'!$A$1:$D$1005, 4, FALSE)</f>
        <v>0.03</v>
      </c>
      <c r="F33" s="151"/>
      <c r="G33" s="151"/>
      <c r="H33" s="151"/>
    </row>
    <row r="34" spans="1:8" ht="15.5" x14ac:dyDescent="0.35">
      <c r="A34" s="71" t="str">
        <f>"Renfrewshire "&amp;$B$7</f>
        <v>Renfrewshire All time</v>
      </c>
      <c r="B34" s="185">
        <f>VLOOKUP($A34, 'Table 7 Full data'!$A$1:$D$1005, 2, FALSE)</f>
        <v>290</v>
      </c>
      <c r="C34" s="72">
        <f>VLOOKUP($A34, 'Table 7 Full data'!$A$1:$D$1005, 3, FALSE)</f>
        <v>88837</v>
      </c>
      <c r="D34" s="55">
        <f>VLOOKUP($A34, 'Table 7 Full data'!$A$1:$D$1005, 4, FALSE)</f>
        <v>0.04</v>
      </c>
      <c r="F34" s="151"/>
      <c r="G34" s="151"/>
      <c r="H34" s="151"/>
    </row>
    <row r="35" spans="1:8" ht="15.5" x14ac:dyDescent="0.35">
      <c r="A35" s="71" t="str">
        <f>"Scottish Borders "&amp;$B$7</f>
        <v>Scottish Borders All time</v>
      </c>
      <c r="B35" s="185">
        <f>VLOOKUP($A35, 'Table 7 Full data'!$A$1:$D$1005, 2, FALSE)</f>
        <v>80</v>
      </c>
      <c r="C35" s="72">
        <f>VLOOKUP($A35, 'Table 7 Full data'!$A$1:$D$1005, 3, FALSE)</f>
        <v>24312</v>
      </c>
      <c r="D35" s="36">
        <f>VLOOKUP($A35, 'Table 7 Full data'!$A$1:$D$1005, 4, FALSE)</f>
        <v>0.01</v>
      </c>
      <c r="F35" s="151"/>
      <c r="G35" s="151"/>
      <c r="H35" s="151"/>
    </row>
    <row r="36" spans="1:8" ht="15.5" x14ac:dyDescent="0.35">
      <c r="A36" s="71" t="str">
        <f>"Shetland Islands "&amp;$B$7</f>
        <v>Shetland Islands All time</v>
      </c>
      <c r="B36" s="185">
        <f>VLOOKUP($A36, 'Table 7 Full data'!$A$1:$D$1005, 2, FALSE)</f>
        <v>20</v>
      </c>
      <c r="C36" s="72">
        <f>VLOOKUP($A36, 'Table 7 Full data'!$A$1:$D$1005, 3, FALSE)</f>
        <v>6764</v>
      </c>
      <c r="D36" s="55">
        <f>VLOOKUP($A36, 'Table 7 Full data'!$A$1:$D$1005, 4, FALSE)</f>
        <v>0</v>
      </c>
      <c r="F36" s="151"/>
      <c r="G36" s="151"/>
      <c r="H36" s="151"/>
    </row>
    <row r="37" spans="1:8" ht="15.5" x14ac:dyDescent="0.35">
      <c r="A37" s="71" t="str">
        <f>"South Ayrshire "&amp;$B$7</f>
        <v>South Ayrshire All time</v>
      </c>
      <c r="B37" s="185">
        <f>VLOOKUP($A37, 'Table 7 Full data'!$A$1:$D$1005, 2, FALSE)</f>
        <v>145</v>
      </c>
      <c r="C37" s="72">
        <f>VLOOKUP($A37, 'Table 7 Full data'!$A$1:$D$1005, 3, FALSE)</f>
        <v>45369</v>
      </c>
      <c r="D37" s="36">
        <f>VLOOKUP($A37, 'Table 7 Full data'!$A$1:$D$1005, 4, FALSE)</f>
        <v>0.02</v>
      </c>
      <c r="F37" s="151"/>
      <c r="G37" s="151"/>
      <c r="H37" s="151"/>
    </row>
    <row r="38" spans="1:8" ht="15.5" x14ac:dyDescent="0.35">
      <c r="A38" s="71" t="str">
        <f>"South Lanarkshire "&amp;$B$7</f>
        <v>South Lanarkshire All time</v>
      </c>
      <c r="B38" s="185">
        <f>VLOOKUP($A38, 'Table 7 Full data'!$A$1:$D$1005, 2, FALSE)</f>
        <v>405</v>
      </c>
      <c r="C38" s="72">
        <f>VLOOKUP($A38, 'Table 7 Full data'!$A$1:$D$1005, 3, FALSE)</f>
        <v>124460</v>
      </c>
      <c r="D38" s="55">
        <f>VLOOKUP($A38, 'Table 7 Full data'!$A$1:$D$1005, 4, FALSE)</f>
        <v>0.05</v>
      </c>
      <c r="F38" s="151"/>
      <c r="G38" s="151"/>
      <c r="H38" s="151"/>
    </row>
    <row r="39" spans="1:8" ht="15.5" x14ac:dyDescent="0.35">
      <c r="A39" s="71" t="str">
        <f>"Stirling "&amp;$B$7</f>
        <v>Stirling All time</v>
      </c>
      <c r="B39" s="185">
        <f>VLOOKUP($A39, 'Table 7 Full data'!$A$1:$D$1005, 2, FALSE)</f>
        <v>115</v>
      </c>
      <c r="C39" s="72">
        <f>VLOOKUP($A39, 'Table 7 Full data'!$A$1:$D$1005, 3, FALSE)</f>
        <v>35744</v>
      </c>
      <c r="D39" s="36">
        <f>VLOOKUP($A39, 'Table 7 Full data'!$A$1:$D$1005, 4, FALSE)</f>
        <v>0.02</v>
      </c>
      <c r="F39" s="151"/>
      <c r="G39" s="151"/>
      <c r="H39" s="151"/>
    </row>
    <row r="40" spans="1:8" ht="15.5" x14ac:dyDescent="0.35">
      <c r="A40" s="71" t="str">
        <f>"West Dunbartonshire "&amp;$B$7</f>
        <v>West Dunbartonshire All time</v>
      </c>
      <c r="B40" s="185">
        <f>VLOOKUP($A40, 'Table 7 Full data'!$A$1:$D$1005, 2, FALSE)</f>
        <v>135</v>
      </c>
      <c r="C40" s="72">
        <f>VLOOKUP($A40, 'Table 7 Full data'!$A$1:$D$1005, 3, FALSE)</f>
        <v>41784</v>
      </c>
      <c r="D40" s="55">
        <f>VLOOKUP($A40, 'Table 7 Full data'!$A$1:$D$1005, 4, FALSE)</f>
        <v>0.02</v>
      </c>
      <c r="F40" s="151"/>
      <c r="G40" s="151"/>
      <c r="H40" s="151"/>
    </row>
    <row r="41" spans="1:8" ht="15.5" x14ac:dyDescent="0.35">
      <c r="A41" s="71" t="str">
        <f>"West Lothian "&amp;$B$7</f>
        <v>West Lothian All time</v>
      </c>
      <c r="B41" s="185">
        <f>VLOOKUP($A41, 'Table 7 Full data'!$A$1:$D$1005, 2, FALSE)</f>
        <v>295</v>
      </c>
      <c r="C41" s="72">
        <f>VLOOKUP($A41, 'Table 7 Full data'!$A$1:$D$1005, 3, FALSE)</f>
        <v>91657</v>
      </c>
      <c r="D41" s="36">
        <f>VLOOKUP($A41, 'Table 7 Full data'!$A$1:$D$1005, 4, FALSE)</f>
        <v>0.04</v>
      </c>
      <c r="F41" s="151"/>
      <c r="G41" s="151"/>
      <c r="H41" s="151"/>
    </row>
    <row r="42" spans="1:8" ht="15.5" x14ac:dyDescent="0.35">
      <c r="A42" s="71" t="str">
        <f>"Unknown - Scottish Address "&amp;$B$7</f>
        <v>Unknown - Scottish Address All time</v>
      </c>
      <c r="B42" s="185" t="str">
        <f>VLOOKUP($A42, 'Table 7 Full data'!$A$1:$D$1005, 2, FALSE)</f>
        <v>[c]</v>
      </c>
      <c r="C42" s="72" t="str">
        <f>VLOOKUP($A42, 'Table 7 Full data'!$A$1:$D$1005, 3, FALSE)</f>
        <v>[c]</v>
      </c>
      <c r="D42" s="55" t="str">
        <f>VLOOKUP($A42, 'Table 7 Full data'!$A$1:$D$1005, 4, FALSE)</f>
        <v>[c]</v>
      </c>
      <c r="F42" s="151"/>
      <c r="G42" s="151"/>
      <c r="H42" s="151"/>
    </row>
    <row r="43" spans="1:8" ht="15.5" x14ac:dyDescent="0.35">
      <c r="A43" s="71" t="str">
        <f>"Non-Scottish postcode "&amp;$B$7</f>
        <v>Non-Scottish postcode All time</v>
      </c>
      <c r="B43" s="185" t="str">
        <f>VLOOKUP($A43, 'Table 7 Full data'!$A$1:$D$1005, 2, FALSE)</f>
        <v>[c]</v>
      </c>
      <c r="C43" s="72" t="str">
        <f>VLOOKUP($A43, 'Table 7 Full data'!$A$1:$D$1005, 3, FALSE)</f>
        <v>[c]</v>
      </c>
      <c r="D43" s="36" t="str">
        <f>VLOOKUP($A43, 'Table 7 Full data'!$A$1:$D$1005, 4, FALSE)</f>
        <v>[c]</v>
      </c>
      <c r="F43" s="151"/>
      <c r="G43" s="151"/>
      <c r="H43" s="151"/>
    </row>
    <row r="44" spans="1:8" ht="15.5" x14ac:dyDescent="0.35">
      <c r="A44" s="73" t="str">
        <f>"No Address "&amp;$B$7</f>
        <v>No Address All time</v>
      </c>
      <c r="B44" s="185" t="str">
        <f>VLOOKUP($A44, 'Table 7 Full data'!$A$1:$D$1005, 2, FALSE)</f>
        <v>[c]</v>
      </c>
      <c r="C44" s="74" t="str">
        <f>VLOOKUP($A44, 'Table 7 Full data'!$A$1:$D$1005, 3, FALSE)</f>
        <v>[c]</v>
      </c>
      <c r="D44" s="55" t="str">
        <f>VLOOKUP($A44, 'Table 7 Full data'!$A$1:$D$1005, 4, FALSE)</f>
        <v>[c]</v>
      </c>
      <c r="F44" s="151"/>
      <c r="G44" s="151"/>
      <c r="H44" s="151"/>
    </row>
    <row r="45" spans="1:8" ht="15.75" customHeight="1" x14ac:dyDescent="0.35">
      <c r="A45" s="141" t="s">
        <v>8</v>
      </c>
      <c r="B45" s="142"/>
      <c r="C45" s="144"/>
      <c r="D45" s="143"/>
      <c r="E45" s="4"/>
      <c r="F45" s="4"/>
      <c r="G45" s="4"/>
    </row>
    <row r="46" spans="1:8" ht="15.75" customHeight="1" x14ac:dyDescent="0.35">
      <c r="A46" s="38" t="s">
        <v>114</v>
      </c>
      <c r="B46" s="28"/>
      <c r="C46" s="28"/>
      <c r="D46" s="28"/>
      <c r="E46" s="28"/>
      <c r="F46" s="28"/>
      <c r="G46" s="28"/>
    </row>
    <row r="47" spans="1:8" ht="157" customHeight="1" x14ac:dyDescent="0.35">
      <c r="A47" s="146" t="s">
        <v>79</v>
      </c>
      <c r="B47" s="4"/>
      <c r="C47" s="4"/>
      <c r="D47" s="4"/>
      <c r="E47" s="4"/>
      <c r="F47" s="4"/>
      <c r="G47" s="4"/>
    </row>
    <row r="48" spans="1:8" ht="124" x14ac:dyDescent="0.35">
      <c r="A48" s="182" t="s">
        <v>413</v>
      </c>
    </row>
    <row r="49" spans="1:7" ht="15.75" customHeight="1" x14ac:dyDescent="0.35">
      <c r="A49" s="34" t="s">
        <v>424</v>
      </c>
      <c r="B49" s="4"/>
      <c r="C49" s="4"/>
      <c r="D49" s="4"/>
      <c r="E49" s="4"/>
      <c r="F49" s="4"/>
      <c r="G49" s="4"/>
    </row>
    <row r="50" spans="1:7" ht="15.75" customHeight="1" x14ac:dyDescent="0.35">
      <c r="A50" s="34" t="s">
        <v>425</v>
      </c>
      <c r="B50" s="4"/>
      <c r="C50" s="4"/>
      <c r="D50" s="4"/>
      <c r="E50" s="4"/>
      <c r="F50" s="4"/>
      <c r="G50" s="4"/>
    </row>
    <row r="51" spans="1:7" ht="15.75" customHeight="1" x14ac:dyDescent="0.35">
      <c r="A51" s="34" t="s">
        <v>426</v>
      </c>
      <c r="B51" s="4"/>
      <c r="C51" s="4"/>
      <c r="D51" s="4"/>
      <c r="E51" s="4"/>
      <c r="F51" s="4"/>
      <c r="G51" s="4"/>
    </row>
    <row r="52" spans="1:7" ht="15.75" customHeight="1" x14ac:dyDescent="0.35">
      <c r="A52" s="34" t="s">
        <v>427</v>
      </c>
      <c r="B52" s="4"/>
      <c r="C52" s="4"/>
      <c r="D52" s="4"/>
      <c r="E52" s="4"/>
      <c r="F52" s="4"/>
      <c r="G52" s="4"/>
    </row>
    <row r="53" spans="1:7" ht="15.75" customHeight="1" x14ac:dyDescent="0.35">
      <c r="A53" s="34" t="s">
        <v>428</v>
      </c>
      <c r="B53" s="43"/>
      <c r="C53" s="43"/>
      <c r="D53" s="43"/>
      <c r="E53" s="43"/>
      <c r="F53" s="43"/>
      <c r="G53" s="43"/>
    </row>
    <row r="54" spans="1:7" ht="15.75" customHeight="1" x14ac:dyDescent="0.35">
      <c r="A54" s="252" t="s">
        <v>429</v>
      </c>
      <c r="B54" s="4"/>
      <c r="C54" s="4"/>
      <c r="D54" s="4"/>
      <c r="E54" s="4"/>
      <c r="F54" s="4"/>
      <c r="G54" s="4"/>
    </row>
    <row r="55" spans="1:7" ht="15.75" customHeight="1" x14ac:dyDescent="0.35">
      <c r="A55" s="34" t="s">
        <v>7</v>
      </c>
      <c r="B55" s="4"/>
      <c r="C55" s="4"/>
      <c r="D55" s="4"/>
      <c r="E55" s="4"/>
      <c r="F55" s="4"/>
      <c r="G55" s="4"/>
    </row>
    <row r="57" spans="1:7" ht="15.5" x14ac:dyDescent="0.35">
      <c r="A57" s="47"/>
    </row>
    <row r="58" spans="1:7" ht="15.5" x14ac:dyDescent="0.35">
      <c r="A58" s="39"/>
    </row>
    <row r="59" spans="1:7" ht="15.5" x14ac:dyDescent="0.35">
      <c r="A59" s="40"/>
    </row>
    <row r="60" spans="1:7" ht="15.5" x14ac:dyDescent="0.35">
      <c r="A60" s="38"/>
    </row>
    <row r="61" spans="1:7" ht="15.5" x14ac:dyDescent="0.35">
      <c r="A61" s="38"/>
    </row>
    <row r="62" spans="1:7" ht="15.5" x14ac:dyDescent="0.35">
      <c r="A62" s="48"/>
    </row>
  </sheetData>
  <conditionalFormatting sqref="D9:D44">
    <cfRule type="dataBar" priority="1">
      <dataBar>
        <cfvo type="num" val="0"/>
        <cfvo type="num" val="1"/>
        <color rgb="FFB4A9D4"/>
      </dataBar>
      <extLst>
        <ext xmlns:x14="http://schemas.microsoft.com/office/spreadsheetml/2009/9/main" uri="{B025F937-C7B1-47D3-B67F-A62EFF666E3E}">
          <x14:id>{BA17155E-4E88-496E-8696-8983BA55B4A6}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17155E-4E88-496E-8696-8983BA55B4A6}">
            <x14:dataBar minLength="0" maxLength="100" gradient="0">
              <x14:cfvo type="num">
                <xm:f>0</xm:f>
              </x14:cfvo>
              <x14:cfvo type="num">
                <xm:f>1</xm:f>
              </x14:cfvo>
              <x14:negativeFillColor rgb="FFFF0000"/>
              <x14:axisColor rgb="FF000000"/>
            </x14:dataBar>
          </x14:cfRule>
          <xm:sqref>D9:D44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Full data'!$G$2:$G$6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defaultRowHeight="14.5" x14ac:dyDescent="0.35"/>
  <cols>
    <col min="1" max="1" width="26.54296875" customWidth="1"/>
    <col min="2" max="2" width="23.26953125" customWidth="1"/>
    <col min="3" max="3" width="22.54296875" customWidth="1"/>
  </cols>
  <sheetData>
    <row r="1" spans="1:5" ht="21" x14ac:dyDescent="0.5">
      <c r="A1" s="24" t="s">
        <v>32</v>
      </c>
    </row>
    <row r="2" spans="1:5" ht="15.5" x14ac:dyDescent="0.35">
      <c r="A2" s="30" t="s">
        <v>368</v>
      </c>
    </row>
    <row r="3" spans="1:5" ht="15.5" x14ac:dyDescent="0.35">
      <c r="A3" s="132" t="s">
        <v>300</v>
      </c>
    </row>
    <row r="4" spans="1:5" ht="15.5" x14ac:dyDescent="0.35">
      <c r="A4" s="26" t="s">
        <v>416</v>
      </c>
    </row>
    <row r="5" spans="1:5" ht="76" customHeight="1" x14ac:dyDescent="0.35">
      <c r="A5" s="51" t="s">
        <v>401</v>
      </c>
      <c r="B5" s="70" t="s">
        <v>404</v>
      </c>
      <c r="C5" s="50" t="s">
        <v>405</v>
      </c>
      <c r="D5" s="8"/>
      <c r="E5" s="8"/>
    </row>
    <row r="6" spans="1:5" ht="15.5" x14ac:dyDescent="0.35">
      <c r="A6" s="245" t="s">
        <v>6</v>
      </c>
      <c r="B6" s="274">
        <v>7420</v>
      </c>
      <c r="C6" s="244">
        <v>2290934</v>
      </c>
      <c r="D6" s="9"/>
      <c r="E6" s="10"/>
    </row>
    <row r="7" spans="1:5" ht="15.5" x14ac:dyDescent="0.35">
      <c r="A7" s="246" t="s">
        <v>95</v>
      </c>
      <c r="B7" s="280">
        <v>225</v>
      </c>
      <c r="C7" s="242">
        <v>66900</v>
      </c>
      <c r="D7" s="11"/>
      <c r="E7" s="12"/>
    </row>
    <row r="8" spans="1:5" ht="15.5" x14ac:dyDescent="0.35">
      <c r="A8" s="247" t="s">
        <v>41</v>
      </c>
      <c r="B8" s="280">
        <v>230</v>
      </c>
      <c r="C8" s="242">
        <v>69600</v>
      </c>
      <c r="D8" s="11"/>
      <c r="E8" s="12"/>
    </row>
    <row r="9" spans="1:5" ht="15.5" x14ac:dyDescent="0.35">
      <c r="A9" s="247" t="s">
        <v>42</v>
      </c>
      <c r="B9" s="280">
        <v>315</v>
      </c>
      <c r="C9" s="242">
        <v>94800</v>
      </c>
      <c r="D9" s="11"/>
      <c r="E9" s="12"/>
    </row>
    <row r="10" spans="1:5" ht="15.5" x14ac:dyDescent="0.35">
      <c r="A10" s="247" t="s">
        <v>43</v>
      </c>
      <c r="B10" s="280">
        <v>185</v>
      </c>
      <c r="C10" s="242">
        <v>55800</v>
      </c>
      <c r="D10" s="11"/>
      <c r="E10" s="12"/>
    </row>
    <row r="11" spans="1:5" ht="15.5" x14ac:dyDescent="0.35">
      <c r="A11" s="247" t="s">
        <v>44</v>
      </c>
      <c r="B11" s="280">
        <v>175</v>
      </c>
      <c r="C11" s="242">
        <v>52800</v>
      </c>
      <c r="D11" s="11"/>
      <c r="E11" s="12"/>
    </row>
    <row r="12" spans="1:5" ht="15.5" x14ac:dyDescent="0.35">
      <c r="A12" s="247" t="s">
        <v>45</v>
      </c>
      <c r="B12" s="280">
        <v>110</v>
      </c>
      <c r="C12" s="242">
        <v>32777</v>
      </c>
      <c r="D12" s="11"/>
      <c r="E12" s="12"/>
    </row>
    <row r="13" spans="1:5" ht="15.5" x14ac:dyDescent="0.35">
      <c r="A13" s="247" t="s">
        <v>46</v>
      </c>
      <c r="B13" s="280">
        <v>120</v>
      </c>
      <c r="C13" s="242">
        <v>35803</v>
      </c>
      <c r="D13" s="11"/>
      <c r="E13" s="12"/>
    </row>
    <row r="14" spans="1:5" ht="15.5" x14ac:dyDescent="0.35">
      <c r="A14" s="247" t="s">
        <v>47</v>
      </c>
      <c r="B14" s="280">
        <v>145</v>
      </c>
      <c r="C14" s="242">
        <v>44432</v>
      </c>
      <c r="D14" s="11"/>
      <c r="E14" s="12"/>
    </row>
    <row r="15" spans="1:5" ht="15.5" x14ac:dyDescent="0.35">
      <c r="A15" s="247" t="s">
        <v>48</v>
      </c>
      <c r="B15" s="280">
        <v>120</v>
      </c>
      <c r="C15" s="242">
        <v>37141</v>
      </c>
      <c r="D15" s="11"/>
      <c r="E15" s="12"/>
    </row>
    <row r="16" spans="1:5" ht="15.5" x14ac:dyDescent="0.35">
      <c r="A16" s="247" t="s">
        <v>49</v>
      </c>
      <c r="B16" s="280">
        <v>130</v>
      </c>
      <c r="C16" s="242">
        <v>40258</v>
      </c>
      <c r="D16" s="11"/>
      <c r="E16" s="12"/>
    </row>
    <row r="17" spans="1:7" ht="15.5" x14ac:dyDescent="0.35">
      <c r="A17" s="247" t="s">
        <v>50</v>
      </c>
      <c r="B17" s="280">
        <v>135</v>
      </c>
      <c r="C17" s="242">
        <v>41173</v>
      </c>
      <c r="D17" s="11"/>
      <c r="E17" s="12"/>
    </row>
    <row r="18" spans="1:7" ht="15.5" x14ac:dyDescent="0.35">
      <c r="A18" s="247" t="s">
        <v>51</v>
      </c>
      <c r="B18" s="280">
        <v>105</v>
      </c>
      <c r="C18" s="242">
        <v>32036</v>
      </c>
      <c r="D18" s="11"/>
      <c r="E18" s="12"/>
    </row>
    <row r="19" spans="1:7" ht="15.5" x14ac:dyDescent="0.35">
      <c r="A19" s="247" t="s">
        <v>52</v>
      </c>
      <c r="B19" s="280">
        <v>195</v>
      </c>
      <c r="C19" s="242">
        <v>60105</v>
      </c>
      <c r="D19" s="11"/>
      <c r="E19" s="12"/>
    </row>
    <row r="20" spans="1:7" ht="15.75" customHeight="1" x14ac:dyDescent="0.35">
      <c r="A20" s="247" t="s">
        <v>53</v>
      </c>
      <c r="B20" s="280">
        <v>315</v>
      </c>
      <c r="C20" s="242">
        <v>96107</v>
      </c>
      <c r="D20" s="11"/>
      <c r="E20" s="12"/>
    </row>
    <row r="21" spans="1:7" ht="15.5" x14ac:dyDescent="0.35">
      <c r="A21" s="247" t="s">
        <v>54</v>
      </c>
      <c r="B21" s="280">
        <v>335</v>
      </c>
      <c r="C21" s="242">
        <v>101903</v>
      </c>
      <c r="D21" s="11"/>
      <c r="E21" s="12"/>
    </row>
    <row r="22" spans="1:7" ht="15.5" x14ac:dyDescent="0.35">
      <c r="A22" s="247" t="s">
        <v>55</v>
      </c>
      <c r="B22" s="280">
        <v>225</v>
      </c>
      <c r="C22" s="242">
        <v>68648</v>
      </c>
      <c r="D22" s="11"/>
      <c r="E22" s="12"/>
    </row>
    <row r="23" spans="1:7" ht="15.5" x14ac:dyDescent="0.35">
      <c r="A23" s="247" t="s">
        <v>56</v>
      </c>
      <c r="B23" s="280">
        <v>340</v>
      </c>
      <c r="C23" s="242">
        <v>104344</v>
      </c>
      <c r="D23" s="11"/>
      <c r="E23" s="12"/>
    </row>
    <row r="24" spans="1:7" ht="15.5" x14ac:dyDescent="0.35">
      <c r="A24" s="247" t="s">
        <v>57</v>
      </c>
      <c r="B24" s="280">
        <v>200</v>
      </c>
      <c r="C24" s="242">
        <v>61810</v>
      </c>
      <c r="D24" s="11"/>
      <c r="E24" s="12"/>
    </row>
    <row r="25" spans="1:7" ht="15.5" x14ac:dyDescent="0.35">
      <c r="A25" s="247" t="s">
        <v>58</v>
      </c>
      <c r="B25" s="280">
        <v>155</v>
      </c>
      <c r="C25" s="242">
        <v>47675</v>
      </c>
      <c r="D25" s="11"/>
      <c r="E25" s="12"/>
    </row>
    <row r="26" spans="1:7" ht="15.5" x14ac:dyDescent="0.35">
      <c r="A26" s="247" t="s">
        <v>59</v>
      </c>
      <c r="B26" s="280">
        <v>145</v>
      </c>
      <c r="C26" s="242">
        <v>45265</v>
      </c>
      <c r="D26" s="11"/>
      <c r="E26" s="12"/>
    </row>
    <row r="27" spans="1:7" ht="15.5" x14ac:dyDescent="0.35">
      <c r="A27" s="247" t="s">
        <v>73</v>
      </c>
      <c r="B27" s="280">
        <v>210</v>
      </c>
      <c r="C27" s="242">
        <v>65007</v>
      </c>
      <c r="D27" s="11"/>
      <c r="E27" s="12"/>
      <c r="F27" s="12"/>
    </row>
    <row r="28" spans="1:7" ht="15.5" x14ac:dyDescent="0.35">
      <c r="A28" s="89" t="s">
        <v>302</v>
      </c>
      <c r="B28" s="280">
        <v>200</v>
      </c>
      <c r="C28" s="242">
        <v>62231</v>
      </c>
      <c r="E28" s="12"/>
      <c r="F28" s="7"/>
      <c r="G28" s="7"/>
    </row>
    <row r="29" spans="1:7" ht="15.5" x14ac:dyDescent="0.35">
      <c r="A29" s="247" t="s">
        <v>303</v>
      </c>
      <c r="B29" s="280">
        <v>205</v>
      </c>
      <c r="C29" s="242">
        <v>63458</v>
      </c>
      <c r="E29" s="12"/>
      <c r="F29" s="7"/>
      <c r="G29" s="7"/>
    </row>
    <row r="30" spans="1:7" ht="15.5" x14ac:dyDescent="0.35">
      <c r="A30" s="247" t="s">
        <v>304</v>
      </c>
      <c r="B30" s="280">
        <v>125</v>
      </c>
      <c r="C30" s="242">
        <v>38516</v>
      </c>
      <c r="E30" s="12"/>
      <c r="F30" s="7"/>
      <c r="G30" s="7"/>
    </row>
    <row r="31" spans="1:7" ht="15.75" customHeight="1" x14ac:dyDescent="0.35">
      <c r="A31" s="247" t="s">
        <v>317</v>
      </c>
      <c r="B31" s="280">
        <v>175</v>
      </c>
      <c r="C31" s="242">
        <v>53310</v>
      </c>
      <c r="E31" s="12"/>
      <c r="F31" s="7"/>
      <c r="G31" s="7"/>
    </row>
    <row r="32" spans="1:7" ht="15.5" x14ac:dyDescent="0.35">
      <c r="A32" s="247" t="s">
        <v>318</v>
      </c>
      <c r="B32" s="280">
        <v>160</v>
      </c>
      <c r="C32" s="242">
        <v>49304</v>
      </c>
      <c r="E32" s="12"/>
      <c r="F32" s="7"/>
      <c r="G32" s="7"/>
    </row>
    <row r="33" spans="1:7" ht="15.5" x14ac:dyDescent="0.35">
      <c r="A33" s="247" t="s">
        <v>319</v>
      </c>
      <c r="B33" s="280">
        <v>285</v>
      </c>
      <c r="C33" s="242">
        <v>88131</v>
      </c>
      <c r="E33" s="12"/>
      <c r="F33" s="7"/>
      <c r="G33" s="7"/>
    </row>
    <row r="34" spans="1:7" ht="15.5" x14ac:dyDescent="0.35">
      <c r="A34" s="89" t="s">
        <v>320</v>
      </c>
      <c r="B34" s="280">
        <v>305</v>
      </c>
      <c r="C34" s="242">
        <v>93369</v>
      </c>
      <c r="G34" s="7"/>
    </row>
    <row r="35" spans="1:7" ht="15.5" x14ac:dyDescent="0.35">
      <c r="A35" s="89" t="s">
        <v>321</v>
      </c>
      <c r="B35" s="280">
        <v>210</v>
      </c>
      <c r="C35" s="242">
        <v>64712</v>
      </c>
      <c r="G35" s="7"/>
    </row>
    <row r="36" spans="1:7" ht="15.5" x14ac:dyDescent="0.35">
      <c r="A36" s="89" t="s">
        <v>322</v>
      </c>
      <c r="B36" s="280">
        <v>250</v>
      </c>
      <c r="C36" s="242">
        <v>76729</v>
      </c>
      <c r="G36" s="7"/>
    </row>
    <row r="37" spans="1:7" ht="15.75" customHeight="1" x14ac:dyDescent="0.35">
      <c r="A37" s="89" t="s">
        <v>391</v>
      </c>
      <c r="B37" s="280">
        <v>240</v>
      </c>
      <c r="C37" s="242">
        <v>76207</v>
      </c>
      <c r="D37" s="6"/>
      <c r="G37" s="6"/>
    </row>
    <row r="38" spans="1:7" ht="15.75" customHeight="1" x14ac:dyDescent="0.35">
      <c r="A38" s="89" t="s">
        <v>392</v>
      </c>
      <c r="B38" s="280">
        <v>225</v>
      </c>
      <c r="C38" s="242">
        <v>73845</v>
      </c>
      <c r="D38" s="6"/>
      <c r="G38" s="6"/>
    </row>
    <row r="39" spans="1:7" ht="15.75" customHeight="1" x14ac:dyDescent="0.35">
      <c r="A39" s="248" t="s">
        <v>393</v>
      </c>
      <c r="B39" s="280">
        <v>220</v>
      </c>
      <c r="C39" s="242">
        <v>71789</v>
      </c>
      <c r="D39" s="6"/>
      <c r="G39" s="6"/>
    </row>
    <row r="40" spans="1:7" ht="15.75" customHeight="1" x14ac:dyDescent="0.35">
      <c r="A40" s="248" t="s">
        <v>410</v>
      </c>
      <c r="B40" s="280">
        <v>220</v>
      </c>
      <c r="C40" s="242">
        <v>71154</v>
      </c>
      <c r="D40" s="6"/>
      <c r="G40" s="6"/>
    </row>
    <row r="41" spans="1:7" ht="15.75" customHeight="1" x14ac:dyDescent="0.35">
      <c r="A41" s="248" t="s">
        <v>411</v>
      </c>
      <c r="B41" s="280">
        <v>240</v>
      </c>
      <c r="C41" s="242">
        <v>78014</v>
      </c>
      <c r="D41" s="6"/>
    </row>
    <row r="42" spans="1:7" ht="15.75" customHeight="1" thickBot="1" x14ac:dyDescent="0.4">
      <c r="A42" s="249" t="s">
        <v>412</v>
      </c>
      <c r="B42" s="289">
        <v>230</v>
      </c>
      <c r="C42" s="251">
        <v>75783</v>
      </c>
      <c r="D42" s="6"/>
    </row>
    <row r="43" spans="1:7" ht="15.75" customHeight="1" x14ac:dyDescent="0.35">
      <c r="A43" s="250" t="s">
        <v>97</v>
      </c>
      <c r="B43" s="280">
        <v>1135</v>
      </c>
      <c r="C43" s="243">
        <v>339900</v>
      </c>
      <c r="D43" s="6"/>
      <c r="E43" s="6"/>
      <c r="F43" s="6"/>
    </row>
    <row r="44" spans="1:7" ht="15.75" customHeight="1" x14ac:dyDescent="0.35">
      <c r="A44" s="75" t="s">
        <v>98</v>
      </c>
      <c r="B44" s="280">
        <v>2280</v>
      </c>
      <c r="C44" s="243">
        <v>694725</v>
      </c>
      <c r="D44" s="27"/>
      <c r="E44" s="27"/>
      <c r="F44" s="27"/>
    </row>
    <row r="45" spans="1:7" ht="15.75" customHeight="1" x14ac:dyDescent="0.35">
      <c r="A45" s="168" t="s">
        <v>100</v>
      </c>
      <c r="B45" s="280">
        <v>2380</v>
      </c>
      <c r="C45" s="243">
        <v>732787</v>
      </c>
    </row>
    <row r="46" spans="1:7" ht="15.75" customHeight="1" x14ac:dyDescent="0.35">
      <c r="A46" s="76" t="s">
        <v>323</v>
      </c>
      <c r="B46" s="280">
        <v>1625</v>
      </c>
      <c r="C46" s="243">
        <v>523521</v>
      </c>
    </row>
    <row r="47" spans="1:7" ht="15.5" x14ac:dyDescent="0.35">
      <c r="A47" s="34" t="s">
        <v>33</v>
      </c>
      <c r="B47" s="6"/>
      <c r="C47" s="6"/>
    </row>
    <row r="48" spans="1:7" ht="15.5" x14ac:dyDescent="0.35">
      <c r="A48" s="34" t="s">
        <v>96</v>
      </c>
      <c r="B48" s="6"/>
      <c r="C48" s="6"/>
    </row>
    <row r="49" spans="1:3" ht="15.5" x14ac:dyDescent="0.35">
      <c r="A49" s="34" t="s">
        <v>313</v>
      </c>
      <c r="B49" s="6"/>
      <c r="C49" s="6"/>
    </row>
    <row r="50" spans="1:3" ht="205.5" customHeight="1" x14ac:dyDescent="0.35">
      <c r="A50" s="182" t="s">
        <v>415</v>
      </c>
      <c r="B50" s="6"/>
      <c r="C50" s="27"/>
    </row>
    <row r="51" spans="1:3" ht="15.5" x14ac:dyDescent="0.35">
      <c r="A51" s="34" t="s">
        <v>402</v>
      </c>
      <c r="B51" s="6"/>
    </row>
    <row r="52" spans="1:3" ht="15.5" x14ac:dyDescent="0.35">
      <c r="A52" s="34" t="s">
        <v>406</v>
      </c>
      <c r="B52" s="6"/>
    </row>
    <row r="53" spans="1:3" ht="15.5" x14ac:dyDescent="0.35">
      <c r="A53" s="252" t="s">
        <v>403</v>
      </c>
      <c r="B53" s="27"/>
    </row>
    <row r="54" spans="1:3" ht="15.5" x14ac:dyDescent="0.35">
      <c r="A54" s="30"/>
    </row>
  </sheetData>
  <conditionalFormatting sqref="E28:E33">
    <cfRule type="dataBar" priority="3">
      <dataBar>
        <cfvo type="min"/>
        <cfvo type="max"/>
        <color rgb="FFE6007E"/>
      </dataBar>
      <extLst>
        <ext xmlns:x14="http://schemas.microsoft.com/office/spreadsheetml/2009/9/main" uri="{B025F937-C7B1-47D3-B67F-A62EFF666E3E}">
          <x14:id>{4F5C5D7B-20DA-4416-86E7-B4C2A3CD40FF}</x14:id>
        </ext>
      </extLst>
    </cfRule>
  </conditionalFormatting>
  <conditionalFormatting sqref="E27:F27 E28:E33 E6:E26">
    <cfRule type="dataBar" priority="100">
      <dataBar>
        <cfvo type="min"/>
        <cfvo type="max"/>
        <color rgb="FFE6007E"/>
      </dataBar>
      <extLst>
        <ext xmlns:x14="http://schemas.microsoft.com/office/spreadsheetml/2009/9/main" uri="{B025F937-C7B1-47D3-B67F-A62EFF666E3E}">
          <x14:id>{54219F96-2B54-44B6-BBD7-1ACE985C8562}</x14:id>
        </ext>
      </extLst>
    </cfRule>
  </conditionalFormatting>
  <conditionalFormatting sqref="E27:F27 E28:E33 E6:E26">
    <cfRule type="dataBar" priority="102">
      <dataBar>
        <cfvo type="percent" val="0"/>
        <cfvo type="percent" val="100"/>
        <color rgb="FFE6007E"/>
      </dataBar>
      <extLst>
        <ext xmlns:x14="http://schemas.microsoft.com/office/spreadsheetml/2009/9/main" uri="{B025F937-C7B1-47D3-B67F-A62EFF666E3E}">
          <x14:id>{830BEDFE-4A83-4A0D-8C09-3C23943AC164}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F5C5D7B-20DA-4416-86E7-B4C2A3CD40FF}">
            <x14:dataBar minLength="0" maxLength="100">
              <x14:cfvo type="autoMin"/>
              <x14:cfvo type="autoMax"/>
              <x14:negativeFillColor rgb="FFFF0000"/>
              <x14:axisColor rgb="FF000000"/>
            </x14:dataBar>
          </x14:cfRule>
          <xm:sqref>E28:E33</xm:sqref>
        </x14:conditionalFormatting>
        <x14:conditionalFormatting xmlns:xm="http://schemas.microsoft.com/office/excel/2006/main">
          <x14:cfRule type="dataBar" id="{54219F96-2B54-44B6-BBD7-1ACE985C8562}">
            <x14:dataBar minLength="0" maxLength="100">
              <x14:cfvo type="autoMin"/>
              <x14:cfvo type="autoMax"/>
              <x14:negativeFillColor rgb="FFFF0000"/>
              <x14:axisColor rgb="FF000000"/>
            </x14:dataBar>
          </x14:cfRule>
          <xm:sqref>E27:F27 E28:E33 E6:E26</xm:sqref>
        </x14:conditionalFormatting>
        <x14:conditionalFormatting xmlns:xm="http://schemas.microsoft.com/office/excel/2006/main">
          <x14:cfRule type="dataBar" id="{830BEDFE-4A83-4A0D-8C09-3C23943AC164}">
            <x14:dataBar minLength="0" maxLength="100">
              <x14:cfvo type="percent">
                <xm:f>0</xm:f>
              </x14:cfvo>
              <x14:cfvo type="percent">
                <xm:f>100</xm:f>
              </x14:cfvo>
              <x14:negativeFillColor rgb="FFFF0000"/>
              <x14:axisColor rgb="FF000000"/>
            </x14:dataBar>
          </x14:cfRule>
          <xm:sqref>E27:F27 E28:E33 E6:E26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Re-determinations</vt:lpstr>
      <vt:lpstr>Chart 1 Applications by month</vt:lpstr>
      <vt:lpstr>Table 3 Full data</vt:lpstr>
      <vt:lpstr>Table 4 Full data</vt:lpstr>
      <vt:lpstr>Table 7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2022-12-16T12:48:28Z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