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9170" windowHeight="5690" tabRatio="653"/>
  </bookViews>
  <sheets>
    <sheet name="Contents" sheetId="1" r:id="rId1"/>
    <sheet name="Table 1 Applications by month" sheetId="81" r:id="rId2"/>
    <sheet name="Table 2 Applications by channel" sheetId="82" r:id="rId3"/>
    <sheet name="Table 3 Applications by age" sheetId="83" r:id="rId4"/>
    <sheet name="Table 4 Applications by LA" sheetId="84" r:id="rId5"/>
    <sheet name="Table 5 Cared for People" sheetId="85" r:id="rId6"/>
    <sheet name="Table 6 Processing Times" sheetId="86" r:id="rId7"/>
    <sheet name="Table 7 Payments by LA" sheetId="87" r:id="rId8"/>
    <sheet name="Table 8 Payments by month" sheetId="88" r:id="rId9"/>
    <sheet name="Table 9 Clients by payments" sheetId="89" r:id="rId10"/>
    <sheet name="Table 10 Re-determinations" sheetId="90" r:id="rId11"/>
    <sheet name="Chart 1" sheetId="51" r:id="rId12"/>
    <sheet name="Table 3 Full data" sheetId="92" r:id="rId13"/>
    <sheet name="Table 4 Full data" sheetId="91" r:id="rId14"/>
    <sheet name="Table 7 Full data" sheetId="93"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1" i="83" l="1"/>
  <c r="H11" i="83" s="1"/>
  <c r="A10" i="83"/>
  <c r="I10" i="83" s="1"/>
  <c r="A9" i="83"/>
  <c r="J9" i="83" s="1"/>
  <c r="A8" i="83"/>
  <c r="C8" i="83" s="1"/>
  <c r="A7" i="83"/>
  <c r="D7" i="83" s="1"/>
  <c r="A7" i="84"/>
  <c r="D7" i="84" s="1"/>
  <c r="A42" i="87"/>
  <c r="B42" i="87" s="1"/>
  <c r="A41" i="87"/>
  <c r="C41" i="87" s="1"/>
  <c r="A40" i="87"/>
  <c r="C40" i="87" s="1"/>
  <c r="A39" i="87"/>
  <c r="C39" i="87" s="1"/>
  <c r="A38" i="87"/>
  <c r="A37" i="87"/>
  <c r="C37" i="87" s="1"/>
  <c r="A36" i="87"/>
  <c r="A35" i="87"/>
  <c r="C35" i="87" s="1"/>
  <c r="A34" i="87"/>
  <c r="C34" i="87" s="1"/>
  <c r="A33" i="87"/>
  <c r="C33" i="87" s="1"/>
  <c r="A32" i="87"/>
  <c r="C32" i="87" s="1"/>
  <c r="A31" i="87"/>
  <c r="B31" i="87" s="1"/>
  <c r="A30" i="87"/>
  <c r="A29" i="87"/>
  <c r="A28" i="87"/>
  <c r="A27" i="87"/>
  <c r="C27" i="87" s="1"/>
  <c r="A26" i="87"/>
  <c r="A25" i="87"/>
  <c r="C25" i="87" s="1"/>
  <c r="A24" i="87"/>
  <c r="C24" i="87" s="1"/>
  <c r="A23" i="87"/>
  <c r="A22" i="87"/>
  <c r="A21" i="87"/>
  <c r="C21" i="87" s="1"/>
  <c r="A20" i="87"/>
  <c r="A19" i="87"/>
  <c r="C19" i="87" s="1"/>
  <c r="A18" i="87"/>
  <c r="C18" i="87" s="1"/>
  <c r="A17" i="87"/>
  <c r="C17" i="87" s="1"/>
  <c r="A16" i="87"/>
  <c r="C16" i="87" s="1"/>
  <c r="A15" i="87"/>
  <c r="A14" i="87"/>
  <c r="A13" i="87"/>
  <c r="B13" i="87" s="1"/>
  <c r="A12" i="87"/>
  <c r="A11" i="87"/>
  <c r="C11" i="87" s="1"/>
  <c r="A10" i="87"/>
  <c r="A9" i="87"/>
  <c r="C9" i="87" s="1"/>
  <c r="A8" i="87"/>
  <c r="C8" i="87" s="1"/>
  <c r="A7" i="87"/>
  <c r="A42" i="84"/>
  <c r="E42" i="84" s="1"/>
  <c r="A41" i="84"/>
  <c r="B41" i="84" s="1"/>
  <c r="A40" i="84"/>
  <c r="F40" i="84" s="1"/>
  <c r="A39" i="84"/>
  <c r="D39" i="84" s="1"/>
  <c r="A38" i="84"/>
  <c r="A37" i="84"/>
  <c r="F37" i="84" s="1"/>
  <c r="A36" i="84"/>
  <c r="D36" i="84" s="1"/>
  <c r="A35" i="84"/>
  <c r="E35" i="84" s="1"/>
  <c r="A34" i="84"/>
  <c r="F34" i="84" s="1"/>
  <c r="A33" i="84"/>
  <c r="C33" i="84" s="1"/>
  <c r="A32" i="84"/>
  <c r="F32" i="84" s="1"/>
  <c r="A31" i="84"/>
  <c r="E31" i="84" s="1"/>
  <c r="A30" i="84"/>
  <c r="A29" i="84"/>
  <c r="F29" i="84" s="1"/>
  <c r="A28" i="84"/>
  <c r="A27" i="84"/>
  <c r="E27" i="84" s="1"/>
  <c r="A26" i="84"/>
  <c r="E26" i="84" s="1"/>
  <c r="A25" i="84"/>
  <c r="B25" i="84" s="1"/>
  <c r="A24" i="84"/>
  <c r="F24" i="84" s="1"/>
  <c r="A23" i="84"/>
  <c r="D23" i="84" s="1"/>
  <c r="A22" i="84"/>
  <c r="A21" i="84"/>
  <c r="F21" i="84" s="1"/>
  <c r="A20" i="84"/>
  <c r="D20" i="84" s="1"/>
  <c r="A19" i="84"/>
  <c r="E19" i="84" s="1"/>
  <c r="A18" i="84"/>
  <c r="F18" i="84" s="1"/>
  <c r="A17" i="84"/>
  <c r="C17" i="84" s="1"/>
  <c r="A16" i="84"/>
  <c r="F16" i="84" s="1"/>
  <c r="A15" i="84"/>
  <c r="E15" i="84" s="1"/>
  <c r="A14" i="84"/>
  <c r="A13" i="84"/>
  <c r="F13" i="84" s="1"/>
  <c r="A12" i="84"/>
  <c r="A11" i="84"/>
  <c r="E11" i="84" s="1"/>
  <c r="A10" i="84"/>
  <c r="E10" i="84" s="1"/>
  <c r="A9" i="84"/>
  <c r="B9" i="84" s="1"/>
  <c r="A8" i="84"/>
  <c r="F8" i="84" s="1"/>
  <c r="E10" i="83" l="1"/>
  <c r="I11" i="83"/>
  <c r="I9" i="83"/>
  <c r="D8" i="83"/>
  <c r="G8" i="83"/>
  <c r="J10" i="83"/>
  <c r="D9" i="83"/>
  <c r="F9" i="83"/>
  <c r="E11" i="83"/>
  <c r="C9" i="83"/>
  <c r="B11" i="83"/>
  <c r="D11" i="83"/>
  <c r="G9" i="83"/>
  <c r="G11" i="83"/>
  <c r="E7" i="83"/>
  <c r="B10" i="83"/>
  <c r="J11" i="83"/>
  <c r="F7" i="83"/>
  <c r="E8" i="83"/>
  <c r="C10" i="83"/>
  <c r="G7" i="83"/>
  <c r="F8" i="83"/>
  <c r="E9" i="83"/>
  <c r="D10" i="83"/>
  <c r="C11" i="83"/>
  <c r="H7" i="83"/>
  <c r="I7" i="83"/>
  <c r="H8" i="83"/>
  <c r="F10" i="83"/>
  <c r="B7" i="83"/>
  <c r="J7" i="83"/>
  <c r="I8" i="83"/>
  <c r="H9" i="83"/>
  <c r="G10" i="83"/>
  <c r="F11" i="83"/>
  <c r="C7" i="83"/>
  <c r="B8" i="83"/>
  <c r="J8" i="83"/>
  <c r="H10" i="83"/>
  <c r="B9" i="83"/>
  <c r="C10" i="87"/>
  <c r="B10" i="87"/>
  <c r="C42" i="87"/>
  <c r="B18" i="87"/>
  <c r="B15" i="87"/>
  <c r="C15" i="87"/>
  <c r="B23" i="87"/>
  <c r="C20" i="87"/>
  <c r="C23" i="87"/>
  <c r="B26" i="87"/>
  <c r="C26" i="87"/>
  <c r="C31" i="87"/>
  <c r="B36" i="87"/>
  <c r="C36" i="87"/>
  <c r="B7" i="87"/>
  <c r="B39" i="87"/>
  <c r="C7" i="87"/>
  <c r="B28" i="87"/>
  <c r="B41" i="87"/>
  <c r="B17" i="87"/>
  <c r="B29" i="87"/>
  <c r="C12" i="87"/>
  <c r="C28" i="87"/>
  <c r="C13" i="87"/>
  <c r="C29" i="87"/>
  <c r="B20" i="87"/>
  <c r="B33" i="87"/>
  <c r="B9" i="87"/>
  <c r="B21" i="87"/>
  <c r="B34" i="87"/>
  <c r="B12" i="87"/>
  <c r="B25" i="87"/>
  <c r="B37" i="87"/>
  <c r="B11" i="87"/>
  <c r="B19" i="87"/>
  <c r="B27" i="87"/>
  <c r="B35" i="87"/>
  <c r="B14" i="87"/>
  <c r="B22" i="87"/>
  <c r="B30" i="87"/>
  <c r="B38" i="87"/>
  <c r="C14" i="87"/>
  <c r="C22" i="87"/>
  <c r="C30" i="87"/>
  <c r="C38" i="87"/>
  <c r="B8" i="87"/>
  <c r="B16" i="87"/>
  <c r="B24" i="87"/>
  <c r="B32" i="87"/>
  <c r="B40" i="87"/>
  <c r="E17" i="84"/>
  <c r="C24" i="84"/>
  <c r="B16" i="84"/>
  <c r="E24" i="84"/>
  <c r="B32" i="84"/>
  <c r="E32" i="84"/>
  <c r="B8" i="84"/>
  <c r="B40" i="84"/>
  <c r="E8" i="84"/>
  <c r="E40" i="84"/>
  <c r="C11" i="84"/>
  <c r="E16" i="84"/>
  <c r="B24" i="84"/>
  <c r="D30" i="84"/>
  <c r="F35" i="84"/>
  <c r="D38" i="84"/>
  <c r="E30" i="84"/>
  <c r="B38" i="84"/>
  <c r="F11" i="84"/>
  <c r="C19" i="84"/>
  <c r="B14" i="84"/>
  <c r="D19" i="84"/>
  <c r="E25" i="84"/>
  <c r="C32" i="84"/>
  <c r="E38" i="84"/>
  <c r="D14" i="84"/>
  <c r="F19" i="84"/>
  <c r="C27" i="84"/>
  <c r="D11" i="84"/>
  <c r="C8" i="84"/>
  <c r="E14" i="84"/>
  <c r="B22" i="84"/>
  <c r="D27" i="84"/>
  <c r="E33" i="84"/>
  <c r="C40" i="84"/>
  <c r="D22" i="84"/>
  <c r="F27" i="84"/>
  <c r="C35" i="84"/>
  <c r="E9" i="84"/>
  <c r="C16" i="84"/>
  <c r="E22" i="84"/>
  <c r="B30" i="84"/>
  <c r="D35" i="84"/>
  <c r="E41" i="84"/>
  <c r="E7" i="84"/>
  <c r="C9" i="84"/>
  <c r="F10" i="84"/>
  <c r="D12" i="84"/>
  <c r="E23" i="84"/>
  <c r="C25" i="84"/>
  <c r="F26" i="84"/>
  <c r="D28" i="84"/>
  <c r="E39" i="84"/>
  <c r="C41" i="84"/>
  <c r="F42" i="84"/>
  <c r="F7" i="84"/>
  <c r="D9" i="84"/>
  <c r="B11" i="84"/>
  <c r="E12" i="84"/>
  <c r="C14" i="84"/>
  <c r="F15" i="84"/>
  <c r="D17" i="84"/>
  <c r="B19" i="84"/>
  <c r="E20" i="84"/>
  <c r="C22" i="84"/>
  <c r="F23" i="84"/>
  <c r="D25" i="84"/>
  <c r="B27" i="84"/>
  <c r="E28" i="84"/>
  <c r="C30" i="84"/>
  <c r="F31" i="84"/>
  <c r="D33" i="84"/>
  <c r="B35" i="84"/>
  <c r="E36" i="84"/>
  <c r="C38" i="84"/>
  <c r="F39" i="84"/>
  <c r="D41" i="84"/>
  <c r="B13" i="84"/>
  <c r="F17" i="84"/>
  <c r="B29" i="84"/>
  <c r="F33" i="84"/>
  <c r="F9" i="84"/>
  <c r="B21" i="84"/>
  <c r="F25" i="84"/>
  <c r="B37" i="84"/>
  <c r="F41" i="84"/>
  <c r="D8" i="84"/>
  <c r="B10" i="84"/>
  <c r="C13" i="84"/>
  <c r="F14" i="84"/>
  <c r="D16" i="84"/>
  <c r="B18" i="84"/>
  <c r="C21" i="84"/>
  <c r="F22" i="84"/>
  <c r="D24" i="84"/>
  <c r="B26" i="84"/>
  <c r="C29" i="84"/>
  <c r="F30" i="84"/>
  <c r="D32" i="84"/>
  <c r="B34" i="84"/>
  <c r="C37" i="84"/>
  <c r="F38" i="84"/>
  <c r="D40" i="84"/>
  <c r="B42" i="84"/>
  <c r="B7" i="84"/>
  <c r="D21" i="84"/>
  <c r="B23" i="84"/>
  <c r="C26" i="84"/>
  <c r="F12" i="84"/>
  <c r="C10" i="84"/>
  <c r="D13" i="84"/>
  <c r="B15" i="84"/>
  <c r="C18" i="84"/>
  <c r="D29" i="84"/>
  <c r="B31" i="84"/>
  <c r="C34" i="84"/>
  <c r="D37" i="84"/>
  <c r="B39" i="84"/>
  <c r="C42" i="84"/>
  <c r="C7" i="84"/>
  <c r="D10" i="84"/>
  <c r="B12" i="84"/>
  <c r="E13" i="84"/>
  <c r="C15" i="84"/>
  <c r="D18" i="84"/>
  <c r="B20" i="84"/>
  <c r="E21" i="84"/>
  <c r="C23" i="84"/>
  <c r="D26" i="84"/>
  <c r="B28" i="84"/>
  <c r="E29" i="84"/>
  <c r="C31" i="84"/>
  <c r="D34" i="84"/>
  <c r="B36" i="84"/>
  <c r="E37" i="84"/>
  <c r="C39" i="84"/>
  <c r="D42" i="84"/>
  <c r="F28" i="84"/>
  <c r="C12" i="84"/>
  <c r="D15" i="84"/>
  <c r="B17" i="84"/>
  <c r="E18" i="84"/>
  <c r="C20" i="84"/>
  <c r="C28" i="84"/>
  <c r="D31" i="84"/>
  <c r="B33" i="84"/>
  <c r="E34" i="84"/>
  <c r="C36" i="84"/>
  <c r="F20" i="84"/>
  <c r="F36" i="84"/>
</calcChain>
</file>

<file path=xl/sharedStrings.xml><?xml version="1.0" encoding="utf-8"?>
<sst xmlns="http://schemas.openxmlformats.org/spreadsheetml/2006/main" count="878" uniqueCount="374">
  <si>
    <t>Contents</t>
  </si>
  <si>
    <t>Table 1</t>
  </si>
  <si>
    <t>Table 2</t>
  </si>
  <si>
    <t>Table 3</t>
  </si>
  <si>
    <t>Table 4</t>
  </si>
  <si>
    <t>Table 5</t>
  </si>
  <si>
    <t>Table 6</t>
  </si>
  <si>
    <t>Total</t>
  </si>
  <si>
    <t>See the data quality section of the publication for further information about how postcodes are matched to local authorities and country.</t>
  </si>
  <si>
    <t>Figures are rounded for disclosure control and may not sum due to rounding.</t>
  </si>
  <si>
    <t>Table 9</t>
  </si>
  <si>
    <t>Table 8</t>
  </si>
  <si>
    <t>Table 7</t>
  </si>
  <si>
    <t>2 cared for people</t>
  </si>
  <si>
    <t>3 cared for people</t>
  </si>
  <si>
    <t>1 cared for person</t>
  </si>
  <si>
    <t>Chart 1: Applications for Young Carer Grant by month</t>
  </si>
  <si>
    <t>Table 1: Applications and decisions for Young Carer Grant by month</t>
  </si>
  <si>
    <t>Applications and decisions for Young Carer Grant by month</t>
  </si>
  <si>
    <t>Table 2: Applications for Young Carer Grant by channel</t>
  </si>
  <si>
    <t>Applications for Young Carer Grant by Channel</t>
  </si>
  <si>
    <t>Applications and authorisations for Young Carer Grant by Local Authority</t>
  </si>
  <si>
    <t>Table 4: Applications and authorisations for Young Carer Grant by Local Authority</t>
  </si>
  <si>
    <t>Table 5: Applications and authorisations for Young Carer Grant by number of Cared for People</t>
  </si>
  <si>
    <t>Applications and authorisations for Young Carer Grant by number of Cared for People</t>
  </si>
  <si>
    <t>Table 6: Processing times for Young Carer Grant by month of decision</t>
  </si>
  <si>
    <t>Processing times for Young Carer Grant by month of decision</t>
  </si>
  <si>
    <t>Young Carer Grant payments by month of issue</t>
  </si>
  <si>
    <t>Chart 1</t>
  </si>
  <si>
    <t>Total applications received</t>
  </si>
  <si>
    <t>Table 3: Applications and decisions for Young Carer Grant by age group</t>
  </si>
  <si>
    <t>Applications and decisions for Young Carer Grant by age group</t>
  </si>
  <si>
    <t>Applications for Young Carer Grant by month</t>
  </si>
  <si>
    <t>Table 8: Young Carer Grant payments by month of issue</t>
  </si>
  <si>
    <t>12</t>
  </si>
  <si>
    <t>Figures are rounded to the nearest pound value and may not sum due to rounding.</t>
  </si>
  <si>
    <t>Re-determinations and appeals for Young Carer Grant management information</t>
  </si>
  <si>
    <t>Number of clients who have received 1 payment</t>
  </si>
  <si>
    <t>Table 10</t>
  </si>
  <si>
    <t>Young Carer Grant payments by Local Authority</t>
  </si>
  <si>
    <t>Table 9: Young Carer Grant clients by number of payments received</t>
  </si>
  <si>
    <t>Young Carer Grant clients by number of payments received</t>
  </si>
  <si>
    <t>Young Carer Grant from 21 October 2019 to 31 July 2021</t>
  </si>
  <si>
    <t>This worksheet contains one table. Applications are summarised by month and financial year totals are located at the bottom of the table.</t>
  </si>
  <si>
    <t>Notes are located below this table and begin in cell A31.</t>
  </si>
  <si>
    <t>October 2019</t>
  </si>
  <si>
    <t>November 2019</t>
  </si>
  <si>
    <t>December 2019</t>
  </si>
  <si>
    <t>January 2020</t>
  </si>
  <si>
    <t>February 2020</t>
  </si>
  <si>
    <t>March 2020</t>
  </si>
  <si>
    <t>April 2020</t>
  </si>
  <si>
    <t>May 2020</t>
  </si>
  <si>
    <t>June 2020</t>
  </si>
  <si>
    <t>July 2020</t>
  </si>
  <si>
    <t>August 2020</t>
  </si>
  <si>
    <t>September 2020</t>
  </si>
  <si>
    <t>October 2020</t>
  </si>
  <si>
    <t>November 2020</t>
  </si>
  <si>
    <t>December 2020</t>
  </si>
  <si>
    <t>January 2021</t>
  </si>
  <si>
    <t>February 2021</t>
  </si>
  <si>
    <t>March 2021</t>
  </si>
  <si>
    <t>April 2021</t>
  </si>
  <si>
    <t>May 2021</t>
  </si>
  <si>
    <t>June 2021</t>
  </si>
  <si>
    <t xml:space="preserve">Total applications received 
</t>
  </si>
  <si>
    <t xml:space="preserve">Percentage of total applications received </t>
  </si>
  <si>
    <t>Authorised applications</t>
  </si>
  <si>
    <t xml:space="preserve">Denied Applications </t>
  </si>
  <si>
    <t xml:space="preserve">Withdrawn applications </t>
  </si>
  <si>
    <t>Percentage of processed applications authorised</t>
  </si>
  <si>
    <t>Percentage of processed applications denied</t>
  </si>
  <si>
    <t xml:space="preserve">Percentage of processed applications withdrawn </t>
  </si>
  <si>
    <t>Applications Received by month 
[note 1]</t>
  </si>
  <si>
    <t xml:space="preserve">Online Applications </t>
  </si>
  <si>
    <t xml:space="preserve">Paper Applications 
</t>
  </si>
  <si>
    <t>Phone Applications 
[note 2]</t>
  </si>
  <si>
    <t xml:space="preserve">Percentage of Online Applications </t>
  </si>
  <si>
    <t>Percentage of Paper Applications</t>
  </si>
  <si>
    <t>Percentage of Phone Applications</t>
  </si>
  <si>
    <t>July 2021</t>
  </si>
  <si>
    <t>This worksheet contains one table. Applications are summarised by month and application channel.</t>
  </si>
  <si>
    <t>Notes are located below this table and begin in cell A28.</t>
  </si>
  <si>
    <t>[note 1] Young Carer Grant was launched on the 21 October 2019 so figures for this period are from 21 to 31 October only.</t>
  </si>
  <si>
    <t>[note 2] Financial Year 2019 - 2020 includes the months from October 2019 to March 2020.</t>
  </si>
  <si>
    <t>[note 3] Financial Year 2020 - 2021 includes the months from April 2020 to March 2021.</t>
  </si>
  <si>
    <t>[note 4] Financial Year 2021 - 2022 includes the month of April 2021 to July 2021.</t>
  </si>
  <si>
    <t xml:space="preserve">[note 5] Applications are processed once a decision has been made to authorise or deny, or once an application is withdrawn by the applicant. Data is presented by the month of decision rather than month the application was received. </t>
  </si>
  <si>
    <t>[note 2] Changes were made in March 2020 in response to the Covid-19 pandemic meaning the full telephony service was not available from 24th March 2020 onwards. On 3rd July 2020, a limited inbound telephony service was re-introduced. The full telephony service resumed on 2nd November 2020.</t>
  </si>
  <si>
    <t xml:space="preserve">[note 1] The other category includes applications where the applicant is under 16 years old, over 18 years old, or where the applicant's age is unknown. </t>
  </si>
  <si>
    <t xml:space="preserve">[note 2] Applications are processed once a decision has been made to authorise or deny, or once an application is withdrawn by the applicant. </t>
  </si>
  <si>
    <t>Notes are located below this table and begin in cell A10.</t>
  </si>
  <si>
    <t>This worksheet contains one table which uses a drop down menu to present the statistics by financial year. To select the financial year, navigate to cell B5 and either click the down arrow on screen or use the keyboard shortcut alt plus the down arrow.</t>
  </si>
  <si>
    <t>Notes are located below this table and begin in cell A43.</t>
  </si>
  <si>
    <t xml:space="preserve">Financial Year selection 
</t>
  </si>
  <si>
    <t>All time</t>
  </si>
  <si>
    <t>Local Authority 
[note 1][note 2][note 3]</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</si>
  <si>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</si>
  <si>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they do not appear on the lookup file used to match postcodes to Scottish local authorities, and if the applications is from a non-Scottish postcode area.</t>
  </si>
  <si>
    <t>[note 3] Some applications did not have a postcode and therefore cannot be matched to local authority or country.</t>
  </si>
  <si>
    <t>Total applications processed  [note 4]</t>
  </si>
  <si>
    <t xml:space="preserve">[note 4] Applications are processed once a decision has been made to authorise or deny, or once an application is withdrawn by the applicant. </t>
  </si>
  <si>
    <t>Unknown</t>
  </si>
  <si>
    <t>Number of cared for people [note 1]</t>
  </si>
  <si>
    <t>[note 1] The unknown category contains applications where the number of cared for people is unknown.</t>
  </si>
  <si>
    <t>[note 2] Applications are processed once a decision has been made to authorise or deny, or once an application is withdrawn by the applicant.</t>
  </si>
  <si>
    <t xml:space="preserve">Total applications excluding 
re-determinations
</t>
  </si>
  <si>
    <t>Applications processed in the same day</t>
  </si>
  <si>
    <t>Applications processed in 
1-5 days</t>
  </si>
  <si>
    <t>Applications processed in 
6-10 days</t>
  </si>
  <si>
    <t>Applications processed in 
11-15 days</t>
  </si>
  <si>
    <t>Applications processed in 
16-20 days</t>
  </si>
  <si>
    <t>Applications processed in 
21 or more days</t>
  </si>
  <si>
    <t>Percentage of Total Applications Processed</t>
  </si>
  <si>
    <t xml:space="preserve">[note 2] Data is presented by the month of decision rather than month the application was received. </t>
  </si>
  <si>
    <t>This worksheet contains one table on processing times. Applications are summarised by month. Percentages of total processed applications are located at the bottom of the table.</t>
  </si>
  <si>
    <t>Notes are located below this table and begin in cell A29.</t>
  </si>
  <si>
    <t>[c] Figures suppressed for disclosure control</t>
  </si>
  <si>
    <t>[note 3] Young Carer Grant was launched on the 21 October 2019 so figures for this period are from 21 to 31 October only.</t>
  </si>
  <si>
    <t>Processing Time by Month 
[note 1][note 2][note 3]</t>
  </si>
  <si>
    <t>[note 4] Applications were taken from 21 October, leaving  9 working days in the month of October in which decisions could be made.</t>
  </si>
  <si>
    <t>Applications processed in 
16 days or more 
[note 4]</t>
  </si>
  <si>
    <t>Percentage of applications processed within 10 days 
[note 4]</t>
  </si>
  <si>
    <t>Median Average Processing Time 
[note 5]</t>
  </si>
  <si>
    <t>[note 5] The median is the middle value of an ordered dataset, or the point at which half of the values are higher and half of the values are lower. Measure is in working days.</t>
  </si>
  <si>
    <t>Table 7: Value of Young Carer Grant payments issued, by Local Authority</t>
  </si>
  <si>
    <t>Percentage of total payment</t>
  </si>
  <si>
    <t>[c] Figures are suppressed where they would disclose a small cohort or allow for the calculation of a small cohort.</t>
  </si>
  <si>
    <t xml:space="preserve">[note 4] Payments are issued once applications are processed and a decision is made to authorise the application. Data is presented by the date a payment is issued rather than date the application was received or the date of decision. </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</si>
  <si>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</si>
  <si>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do not have a postcode and therefore cannot be matched to local authority or country.</t>
  </si>
  <si>
    <t>[note 7] The flat rate paid to clients increased from £300 to £305.10 on applications received on or after 1 April 2020. This increased to £308.15 on applications received on or after 1 April 2021.</t>
  </si>
  <si>
    <t>This worksheet contains one table which summarises payments by month. Financial year totals are located at the bottom of the table.</t>
  </si>
  <si>
    <t>October/November 2019</t>
  </si>
  <si>
    <t>Notes are located below this table and begin in cell A30.</t>
  </si>
  <si>
    <t xml:space="preserve">[note 1] Payments are issued once applications are processed and a decision is made to authorise the application. Data is presented by the month of a payment being issued rather than month the application was received or the month of decision. </t>
  </si>
  <si>
    <t>[note 2] Due to Young Carer Grant launching on the 21 October 2019, a very small number of payments were made in October. Payment values for October and November have been aggregated.</t>
  </si>
  <si>
    <t>Financial Year 2019 - 2020</t>
  </si>
  <si>
    <t>Financial Year 2020 - 2021</t>
  </si>
  <si>
    <t>Financial Year 2021 - 2022</t>
  </si>
  <si>
    <r>
      <t>Financial Year 2021 - 2022</t>
    </r>
    <r>
      <rPr>
        <sz val="11"/>
        <color theme="1"/>
        <rFont val="Calibri"/>
        <family val="2"/>
        <scheme val="minor"/>
      </rPr>
      <t/>
    </r>
  </si>
  <si>
    <t>This worksheet contains one table which summarises clients by the number of payments received.</t>
  </si>
  <si>
    <t>Total number of payments issued 
[note 1][note 2][note 3]</t>
  </si>
  <si>
    <t xml:space="preserve">[note 1] Payments are issued once applications are processed and a decision is made to authorise the application. </t>
  </si>
  <si>
    <t>[note 4] Young Carer Grant is a payment that can be applied for annually so clients can receive payment for each year that they meet the eligilibilty criteria.</t>
  </si>
  <si>
    <t>Month [note 1]</t>
  </si>
  <si>
    <t>Number of 
re-determinations 
received 
[note 2]</t>
  </si>
  <si>
    <t xml:space="preserve">Re-determinations as a percentage of decisions processed 
</t>
  </si>
  <si>
    <t>Re-determinations completed 
[note 3]</t>
  </si>
  <si>
    <t>Completed 
re-determinations 
which are disallowed 
[note 3]</t>
  </si>
  <si>
    <t>Completed 
re-determinations 
which are allowed or partially allowed 
[note 3]</t>
  </si>
  <si>
    <t>Completed 
re-determinations 
which are withdrawn 
[note 3]</t>
  </si>
  <si>
    <t>This worksheet contains one table which summarises re-determinations by month.</t>
  </si>
  <si>
    <t>Table 10: Re-determinations for Young Carer Grant Management Information</t>
  </si>
  <si>
    <t>[note 2] Figures presented for re-determinations received exclude any invalid requests.</t>
  </si>
  <si>
    <t xml:space="preserve">[note 3] Data is presented by the month of decision rather than month the re-determination or appeal was received. </t>
  </si>
  <si>
    <t>Median response time in working days 
[note 4][note 5]</t>
  </si>
  <si>
    <t>[note 4] Average days to respond and percentage closed within 16 working days are only calculated for re-determinations that were disallowed, allowed, or partially allowed - this figure excludes re-determinations that were withdrawn. Where a re-determination was not closed within 16 working days, a further 5 day extension was agreed with the client or it was subject to a Coronavirus related extension permitted under the Coronavirus (Scotland) Act 2020 legislation that came into force on 7 April 2020.</t>
  </si>
  <si>
    <t xml:space="preserve">[note 5] Median average has been used. The median is the middle value of an ordered dataset, or the point at which half of the values are higher and half of the values are lower. </t>
  </si>
  <si>
    <t>[note 1] Young Carer Grant was launched on the 21 October 2019.</t>
  </si>
  <si>
    <t>Denied applications</t>
  </si>
  <si>
    <t>Withdrawn applications</t>
  </si>
  <si>
    <t>Percentage of processed applications withdrawn</t>
  </si>
  <si>
    <t>[c]</t>
  </si>
  <si>
    <t>Total applications processed  
[note 5]</t>
  </si>
  <si>
    <t>Total applications processed 
[note 2]</t>
  </si>
  <si>
    <t>Total applications processed  
[note 2]</t>
  </si>
  <si>
    <t>Total excluding re-determinations</t>
  </si>
  <si>
    <t>not applicable</t>
  </si>
  <si>
    <t>[note 3] Financial Year 2019 - 2020 includes the months from October 2019 to March 2020. Financial Year 2020 - 2021 includes the months from April 2020 to March 2021. Financial Year 2021 - 2022 includes the months from April 2021 to July 2021 at the time of publication.</t>
  </si>
  <si>
    <t>Month of payment issue
[note 1][note 2][note 3]</t>
  </si>
  <si>
    <t>[note 5] Value of payments includes payments that are a result of re-determinations and appeals.</t>
  </si>
  <si>
    <t xml:space="preserve">[note 6] Value of payments excludes a very small number of payments which are made manually to clients (see the Data Quality section of the publication for more information) </t>
  </si>
  <si>
    <t>[note 6] The flat rate paid to clients increased from £300 to £305.10 on applications received on or after 1 April 2020.  This increased to £308.15 for applications received on or after 1 April 2021.</t>
  </si>
  <si>
    <t xml:space="preserve">[note 4] Value of payments includes payments that are a result of re-determinations and appeals. </t>
  </si>
  <si>
    <t xml:space="preserve">[note 5]  Value of payments excludes a very small number of payments which are made manually to clients (see the Data Quality section of the publication for more information) </t>
  </si>
  <si>
    <t xml:space="preserve">[note 3] Payments issued excludes a very small number of payments which are made manually to clients (see the Data Quality section of the publication for more information) </t>
  </si>
  <si>
    <t>[note 2] Payments issued includes payments that are a result of re-determinations and appeals.</t>
  </si>
  <si>
    <t>Total number of clients who have received payment 
[note 4]</t>
  </si>
  <si>
    <t>Number of clients who have received 2 payments 
[note 4]</t>
  </si>
  <si>
    <t>Month
 [note 1][note 2]
[note 3][note 4]</t>
  </si>
  <si>
    <t>Percentage of total applications received</t>
  </si>
  <si>
    <t>[c] Figures suppressed for disclosure control.</t>
  </si>
  <si>
    <t>Notes are located below this table and begin in cell A12.</t>
  </si>
  <si>
    <r>
      <t>Value of payments</t>
    </r>
    <r>
      <rPr>
        <b/>
        <vertAlign val="superscript"/>
        <sz val="12"/>
        <color theme="1"/>
        <rFont val="Calibri"/>
        <family val="2"/>
        <scheme val="minor"/>
      </rPr>
      <t xml:space="preserve"> 
</t>
    </r>
    <r>
      <rPr>
        <b/>
        <sz val="12"/>
        <color theme="1"/>
        <rFont val="Calibri"/>
        <family val="2"/>
        <scheme val="minor"/>
      </rPr>
      <t>[note 4][note 5]
[note 6][note 7]</t>
    </r>
  </si>
  <si>
    <r>
      <t>Value of payments</t>
    </r>
    <r>
      <rPr>
        <b/>
        <vertAlign val="superscript"/>
        <sz val="12"/>
        <color theme="1"/>
        <rFont val="Calibri"/>
        <family val="2"/>
        <scheme val="minor"/>
      </rPr>
      <t xml:space="preserve"> 
</t>
    </r>
    <r>
      <rPr>
        <b/>
        <sz val="12"/>
        <color theme="1"/>
        <rFont val="Calibri"/>
        <family val="2"/>
        <scheme val="minor"/>
      </rPr>
      <t>[note 4][note 5][note 6]</t>
    </r>
  </si>
  <si>
    <t>Total applications processed</t>
  </si>
  <si>
    <t>Aberdeen City 2019_2020</t>
  </si>
  <si>
    <t>Aberdeen City 2020_2021</t>
  </si>
  <si>
    <t>Aberdeen City 2021_2022</t>
  </si>
  <si>
    <t>Aberdeen City All time</t>
  </si>
  <si>
    <t>Aberdeenshire 2019_2020</t>
  </si>
  <si>
    <t>Aberdeenshire 2020_2021</t>
  </si>
  <si>
    <t>Aberdeenshire 2021_2022</t>
  </si>
  <si>
    <t>Aberdeenshire All time</t>
  </si>
  <si>
    <t>Angus 2019_2020</t>
  </si>
  <si>
    <t>Angus 2020_2021</t>
  </si>
  <si>
    <t>Angus 2021_2022</t>
  </si>
  <si>
    <t>Angus All time</t>
  </si>
  <si>
    <t>Argyll and Bute 2019_2020</t>
  </si>
  <si>
    <t>Argyll and Bute 2020_2021</t>
  </si>
  <si>
    <t>Argyll and Bute 2021_2022</t>
  </si>
  <si>
    <t>Argyll and Bute All time</t>
  </si>
  <si>
    <t>Clackmannanshire 2019_2020</t>
  </si>
  <si>
    <t>Clackmannanshire 2020_2021</t>
  </si>
  <si>
    <t>Clackmannanshire 2021_2022</t>
  </si>
  <si>
    <t>Clackmannanshire All time</t>
  </si>
  <si>
    <t>Dumfries and Galloway 2019_2020</t>
  </si>
  <si>
    <t>Dumfries and Galloway 2020_2021</t>
  </si>
  <si>
    <t>Dumfries and Galloway 2021_2022</t>
  </si>
  <si>
    <t>Dumfries and Galloway All time</t>
  </si>
  <si>
    <t>Dundee City 2019_2020</t>
  </si>
  <si>
    <t>Dundee City 2020_2021</t>
  </si>
  <si>
    <t>Dundee City 2021_2022</t>
  </si>
  <si>
    <t>Dundee City All time</t>
  </si>
  <si>
    <t>East Ayrshire 2019_2020</t>
  </si>
  <si>
    <t>East Ayrshire 2020_2021</t>
  </si>
  <si>
    <t>East Ayrshire 2021_2022</t>
  </si>
  <si>
    <t>East Ayrshire All time</t>
  </si>
  <si>
    <t>East Dunbartonshire 2019_2020</t>
  </si>
  <si>
    <t>East Dunbartonshire 2020_2021</t>
  </si>
  <si>
    <t>East Dunbartonshire 2021_2022</t>
  </si>
  <si>
    <t>East Dunbartonshire All time</t>
  </si>
  <si>
    <t>East Lothian 2019_2020</t>
  </si>
  <si>
    <t>East Lothian 2020_2021</t>
  </si>
  <si>
    <t>East Lothian 2021_2022</t>
  </si>
  <si>
    <t>East Lothian All time</t>
  </si>
  <si>
    <t>East Renfrewshire 2019_2020</t>
  </si>
  <si>
    <t>East Renfrewshire 2020_2021</t>
  </si>
  <si>
    <t>East Renfrewshire 2021_2022</t>
  </si>
  <si>
    <t>East Renfrewshire All time</t>
  </si>
  <si>
    <t>Edinburgh, City of 2019_2020</t>
  </si>
  <si>
    <t>Edinburgh, City of 2020_2021</t>
  </si>
  <si>
    <t>Edinburgh, City of 2021_2022</t>
  </si>
  <si>
    <t>Edinburgh, City of All time</t>
  </si>
  <si>
    <t>Falkirk 2019_2020</t>
  </si>
  <si>
    <t>Falkirk 2020_2021</t>
  </si>
  <si>
    <t>Falkirk 2021_2022</t>
  </si>
  <si>
    <t>Falkirk All time</t>
  </si>
  <si>
    <t>Fife 2019_2020</t>
  </si>
  <si>
    <t>Fife 2020_2021</t>
  </si>
  <si>
    <t>Fife 2021_2022</t>
  </si>
  <si>
    <t>Fife All time</t>
  </si>
  <si>
    <t>Glasgow City 2019_2020</t>
  </si>
  <si>
    <t>Glasgow City 2020_2021</t>
  </si>
  <si>
    <t>Glasgow City 2021_2022</t>
  </si>
  <si>
    <t>Glasgow City All time</t>
  </si>
  <si>
    <t>Highland 2019_2020</t>
  </si>
  <si>
    <t>Highland 2020_2021</t>
  </si>
  <si>
    <t>Highland 2021_2022</t>
  </si>
  <si>
    <t>Highland All time</t>
  </si>
  <si>
    <t>Inverclyde 2019_2020</t>
  </si>
  <si>
    <t>Inverclyde 2020_2021</t>
  </si>
  <si>
    <t>Inverclyde 2021_2022</t>
  </si>
  <si>
    <t>Inverclyde All time</t>
  </si>
  <si>
    <t>Midlothian 2019_2020</t>
  </si>
  <si>
    <t>Midlothian 2020_2021</t>
  </si>
  <si>
    <t>Midlothian 2021_2022</t>
  </si>
  <si>
    <t>Midlothian All time</t>
  </si>
  <si>
    <t>Moray 2019_2020</t>
  </si>
  <si>
    <t>Moray 2020_2021</t>
  </si>
  <si>
    <t>Moray 2021_2022</t>
  </si>
  <si>
    <t>Moray All time</t>
  </si>
  <si>
    <t>Na h-Eileanan Siar 2019_2020</t>
  </si>
  <si>
    <t>Na h-Eileanan Siar 2020_2021</t>
  </si>
  <si>
    <t>Na h-Eileanan Siar 2021_2022</t>
  </si>
  <si>
    <t>Na h-Eileanan Siar All time</t>
  </si>
  <si>
    <t>No address 2019_2020</t>
  </si>
  <si>
    <t>No address 2020_2021</t>
  </si>
  <si>
    <t>No address 2021_2022</t>
  </si>
  <si>
    <t>No address All time</t>
  </si>
  <si>
    <t>Non-Scottish postcode 2019_2020</t>
  </si>
  <si>
    <t>Non-Scottish postcode 2020_2021</t>
  </si>
  <si>
    <t>Non-Scottish postcode 2021_2022</t>
  </si>
  <si>
    <t>Non-Scottish postcode All time</t>
  </si>
  <si>
    <t>North Ayrshire 2019_2020</t>
  </si>
  <si>
    <t>North Ayrshire 2020_2021</t>
  </si>
  <si>
    <t>North Ayrshire 2021_2022</t>
  </si>
  <si>
    <t>North Ayrshire All time</t>
  </si>
  <si>
    <t>North Lanarkshire 2019_2020</t>
  </si>
  <si>
    <t>North Lanarkshire 2020_2021</t>
  </si>
  <si>
    <t>North Lanarkshire 2021_2022</t>
  </si>
  <si>
    <t>North Lanarkshire All time</t>
  </si>
  <si>
    <t>Orkney Islands 2019_2020</t>
  </si>
  <si>
    <t>Orkney Islands 2020_2021</t>
  </si>
  <si>
    <t>Orkney Islands 2021_2022</t>
  </si>
  <si>
    <t>Orkney Islands All time</t>
  </si>
  <si>
    <t>Perth and Kinross 2019_2020</t>
  </si>
  <si>
    <t>Perth and Kinross 2020_2021</t>
  </si>
  <si>
    <t>Perth and Kinross 2021_2022</t>
  </si>
  <si>
    <t>Perth and Kinross All time</t>
  </si>
  <si>
    <t>Renfrewshire 2019_2020</t>
  </si>
  <si>
    <t>Renfrewshire 2020_2021</t>
  </si>
  <si>
    <t>Renfrewshire 2021_2022</t>
  </si>
  <si>
    <t>Renfrewshire All time</t>
  </si>
  <si>
    <t>Scottish Borders 2019_2020</t>
  </si>
  <si>
    <t>Scottish Borders 2020_2021</t>
  </si>
  <si>
    <t>Scottish Borders 2021_2022</t>
  </si>
  <si>
    <t>Scottish Borders All time</t>
  </si>
  <si>
    <t>Shetland Islands 2019_2020</t>
  </si>
  <si>
    <t>Shetland Islands 2020_2021</t>
  </si>
  <si>
    <t>Shetland Islands 2021_2022</t>
  </si>
  <si>
    <t>Shetland Islands All time</t>
  </si>
  <si>
    <t>South Ayrshire 2019_2020</t>
  </si>
  <si>
    <t>South Ayrshire 2020_2021</t>
  </si>
  <si>
    <t>South Ayrshire 2021_2022</t>
  </si>
  <si>
    <t>South Ayrshire All time</t>
  </si>
  <si>
    <t>South Lanarkshire 2019_2020</t>
  </si>
  <si>
    <t>South Lanarkshire 2020_2021</t>
  </si>
  <si>
    <t>South Lanarkshire 2021_2022</t>
  </si>
  <si>
    <t>South Lanarkshire All time</t>
  </si>
  <si>
    <t>Stirling 2019_2020</t>
  </si>
  <si>
    <t>Stirling 2020_2021</t>
  </si>
  <si>
    <t>Stirling 2021_2022</t>
  </si>
  <si>
    <t>Stirling All time</t>
  </si>
  <si>
    <t>Total 2019_2020</t>
  </si>
  <si>
    <t>Total 2020_2021</t>
  </si>
  <si>
    <t>Total 2021_2022</t>
  </si>
  <si>
    <t>Total All time</t>
  </si>
  <si>
    <t>West Dunbartonshire 2019_2020</t>
  </si>
  <si>
    <t>West Dunbartonshire 2020_2021</t>
  </si>
  <si>
    <t>West Dunbartonshire 2021_2022</t>
  </si>
  <si>
    <t>West Dunbartonshire All time</t>
  </si>
  <si>
    <t>West Lothian 2019_2020</t>
  </si>
  <si>
    <t>West Lothian 2020_2021</t>
  </si>
  <si>
    <t>West Lothian 2021_2022</t>
  </si>
  <si>
    <t>West Lothian All time</t>
  </si>
  <si>
    <t>Local Authority</t>
  </si>
  <si>
    <t>Total Applications Received</t>
  </si>
  <si>
    <t>Financial Years</t>
  </si>
  <si>
    <t>2019_2020</t>
  </si>
  <si>
    <t>2020_2021</t>
  </si>
  <si>
    <t>2021_2022</t>
  </si>
  <si>
    <t>Other 2019_2020</t>
  </si>
  <si>
    <t>Other 2020_2021</t>
  </si>
  <si>
    <t>Other 2021_2022</t>
  </si>
  <si>
    <t>Other All time</t>
  </si>
  <si>
    <t>Age group</t>
  </si>
  <si>
    <t>Value of Payments awarded</t>
  </si>
  <si>
    <t>Unknown - Scottish address 2019_2020</t>
  </si>
  <si>
    <t>Unknown - Scottish address All time</t>
  </si>
  <si>
    <t>Unknown - Scottish address 2020_2021</t>
  </si>
  <si>
    <t>Unknown - Scottish address 2021_2022</t>
  </si>
  <si>
    <t>16 years 2019_2020</t>
  </si>
  <si>
    <t>16 years 2020_2021</t>
  </si>
  <si>
    <t>16 years 2021_2022</t>
  </si>
  <si>
    <t>16 years All time</t>
  </si>
  <si>
    <t>17 years 2019_2020</t>
  </si>
  <si>
    <t>17 years 2020_2021</t>
  </si>
  <si>
    <t>17 years 2021_2022</t>
  </si>
  <si>
    <t>17 years All time</t>
  </si>
  <si>
    <t>18 years 2019_2020</t>
  </si>
  <si>
    <t>18 years 2020_2021</t>
  </si>
  <si>
    <t>18 years 2021_2022</t>
  </si>
  <si>
    <t>18 years All time</t>
  </si>
  <si>
    <t>[c}</t>
  </si>
  <si>
    <t>Percentage of total payments</t>
  </si>
  <si>
    <t>Table 3 Full data</t>
  </si>
  <si>
    <t>Table 4 Full data</t>
  </si>
  <si>
    <t>Table 7 Full data</t>
  </si>
  <si>
    <t>Applications and decisions for Young Carer Grant by age group - full data</t>
  </si>
  <si>
    <t>Applications and authorisations for Young Carer Grant by Local Authority - full data</t>
  </si>
  <si>
    <t>Young Carer Grant payments by Local Authority - full data</t>
  </si>
  <si>
    <t>To view the full data behind this table please see the worksheet titled Table 3 Full data.</t>
  </si>
  <si>
    <t>Age of applicant 
[note 1]</t>
  </si>
  <si>
    <t>To view the full data behind this table please see the worksheet titled Table 4 Full data.</t>
  </si>
  <si>
    <t>This worksheet contains one table which summarises applications by number of cared for people applicants have included in their applications.</t>
  </si>
  <si>
    <t>Applications processed within 10 days 
[note 4]</t>
  </si>
  <si>
    <t>Applications processed within 15 days 
[note 4]</t>
  </si>
  <si>
    <t>To view the full data behind this table please see the worksheet titled Table 7 Full data.</t>
  </si>
  <si>
    <t>Notes are located below this table and begin in cell A6.</t>
  </si>
  <si>
    <t>Re-determinations closed within 16 working days [note 4]</t>
  </si>
  <si>
    <t xml:space="preserve">[note 1] Processing time is calculated in working days, and public holidays are excluded, even if applications were processed by staff working overtime on these days. Processing time is only calculated for applications that were decided by 31 July 2021, and does not include any applications that are flagged as having had a re-determination request. The number of applications processed in this table is therefore lower than the number of decisions shown in other tables.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</si>
</sst>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43" formatCode="_-* #,##0.00_-;\-* #,##0.00_-;_-* &quot;-&quot;??_-;_-@_-"/>
    <numFmt numFmtId="164" formatCode="_-* #,##0_-;\-* #,##0_-;_-* &quot;-&quot;??_-;_-@_-"/>
    <numFmt numFmtId="165" formatCode="&quot;£&quot;#,##0"/>
    <numFmt numFmtId="166" formatCode="0.0%"/>
    <numFmt numFmtId="167" formatCode="_-* #,##0.0_-;\-* #,##0.0_-;_-* &quot;-&quot;??_-;_-@_-"/>
    <numFmt numFmtId="168" formatCode="#,##0_ ;\-#,##0\ "/>
    <numFmt numFmtId="169" formatCode="0_ ;\-0\ "/>
  </numFmts>
  <fonts count="16"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1"/>
      <color rgb="FFFF0000"/>
      <name val="Calibri"/>
      <family val="2"/>
      <scheme val="minor"/>
    </font>
    <font>
      <b/>
      <sz val="15"/>
      <color theme="3"/>
      <name val="Calibri"/>
      <family val="2"/>
      <scheme val="minor"/>
    </font>
    <font>
      <sz val="12"/>
      <name val="Calibri"/>
      <family val="2"/>
      <scheme val="minor"/>
    </font>
    <font>
      <b/>
      <sz val="12"/>
      <name val="Calibri"/>
      <family val="2"/>
      <scheme val="minor"/>
    </font>
    <font>
      <b/>
      <sz val="12"/>
      <color theme="1"/>
      <name val="Calibri"/>
      <family val="2"/>
      <scheme val="minor"/>
    </font>
    <font>
      <b/>
      <vertAlign val="superscript"/>
      <sz val="12"/>
      <color theme="1"/>
      <name val="Calibri"/>
      <family val="2"/>
      <scheme val="minor"/>
    </font>
    <font>
      <b/>
      <sz val="16"/>
      <color theme="1"/>
      <name val="Calibri"/>
      <family val="2"/>
      <scheme val="minor"/>
    </font>
    <font>
      <sz val="12"/>
      <color theme="1"/>
      <name val="Calibri"/>
      <family val="2"/>
      <scheme val="minor"/>
    </font>
    <font>
      <b/>
      <sz val="16"/>
      <name val="Calibri"/>
      <family val="2"/>
      <scheme val="minor"/>
    </font>
    <font>
      <sz val="12"/>
      <color rgb="FFFF0000"/>
      <name val="Calibri"/>
      <family val="2"/>
      <scheme val="minor"/>
    </font>
    <font>
      <b/>
      <sz val="11"/>
      <color rgb="FFFF0000"/>
      <name val="Arial"/>
      <family val="2"/>
    </font>
  </fonts>
  <fills count="4">
    <fill>
      <patternFill patternType="none"/>
    </fill>
    <fill>
      <patternFill patternType="gray125"/>
    </fill>
    <fill>
      <patternFill patternType="solid">
        <fgColor rgb="FFFFFFFF"/>
        <bgColor indexed="64"/>
      </patternFill>
    </fill>
    <fill>
      <patternFill patternType="solid">
        <fgColor theme="0" tint="-0.14999847407452621"/>
        <bgColor theme="0" tint="-0.14999847407452621"/>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bottom style="thick">
        <color theme="4"/>
      </bottom>
      <diagonal/>
    </border>
    <border>
      <left style="thin">
        <color indexed="64"/>
      </left>
      <right/>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rgb="FF000000"/>
      </left>
      <right/>
      <top/>
      <bottom/>
      <diagonal/>
    </border>
    <border>
      <left style="thin">
        <color indexed="64"/>
      </left>
      <right style="thin">
        <color rgb="FF000000"/>
      </right>
      <top/>
      <bottom/>
      <diagonal/>
    </border>
    <border>
      <left style="thick">
        <color indexed="64"/>
      </left>
      <right style="thin">
        <color indexed="64"/>
      </right>
      <top/>
      <bottom/>
      <diagonal/>
    </border>
    <border>
      <left style="thick">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style="thin">
        <color indexed="64"/>
      </left>
      <right/>
      <top/>
      <bottom style="medium">
        <color rgb="FFC1C1C1"/>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diagonal/>
    </border>
    <border>
      <left style="thin">
        <color indexed="64"/>
      </left>
      <right style="thin">
        <color rgb="FF000000"/>
      </right>
      <top style="thin">
        <color rgb="FF000000"/>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6" fillId="0" borderId="14" applyNumberFormat="0" applyFill="0" applyAlignment="0" applyProtection="0"/>
  </cellStyleXfs>
  <cellXfs count="229">
    <xf numFmtId="0" fontId="0" fillId="0" borderId="0" xfId="0"/>
    <xf numFmtId="0" fontId="1" fillId="0" borderId="0" xfId="0" applyFont="1"/>
    <xf numFmtId="0" fontId="4" fillId="0" borderId="0" xfId="3"/>
    <xf numFmtId="9" fontId="0" fillId="0" borderId="0" xfId="2" applyFont="1"/>
    <xf numFmtId="0" fontId="0" fillId="0" borderId="0" xfId="0" applyFont="1"/>
    <xf numFmtId="164" fontId="1" fillId="0" borderId="1" xfId="1" applyNumberFormat="1" applyFont="1" applyBorder="1" applyAlignment="1">
      <alignment horizontal="right"/>
    </xf>
    <xf numFmtId="0" fontId="0" fillId="0" borderId="0" xfId="0" applyAlignment="1">
      <alignment wrapText="1"/>
    </xf>
    <xf numFmtId="0" fontId="0" fillId="0" borderId="0" xfId="0" applyFont="1" applyAlignment="1">
      <alignment vertical="center" wrapText="1"/>
    </xf>
    <xf numFmtId="0" fontId="0" fillId="0" borderId="0" xfId="0" applyAlignment="1">
      <alignment vertical="center"/>
    </xf>
    <xf numFmtId="0" fontId="0" fillId="0" borderId="0" xfId="0" applyAlignment="1"/>
    <xf numFmtId="0" fontId="0" fillId="0" borderId="0" xfId="0" applyAlignment="1">
      <alignment vertical="center" wrapText="1"/>
    </xf>
    <xf numFmtId="1" fontId="0" fillId="0" borderId="0" xfId="0" applyNumberFormat="1"/>
    <xf numFmtId="1" fontId="1" fillId="0" borderId="0" xfId="0" applyNumberFormat="1" applyFont="1" applyBorder="1" applyAlignment="1">
      <alignment vertical="center"/>
    </xf>
    <xf numFmtId="1" fontId="1" fillId="0" borderId="0" xfId="1" applyNumberFormat="1" applyFont="1" applyBorder="1" applyAlignment="1">
      <alignment horizontal="right"/>
    </xf>
    <xf numFmtId="1" fontId="1" fillId="0" borderId="0" xfId="2" applyNumberFormat="1" applyFont="1" applyBorder="1"/>
    <xf numFmtId="1" fontId="0" fillId="0" borderId="0" xfId="1" applyNumberFormat="1" applyFont="1" applyBorder="1" applyAlignment="1">
      <alignment horizontal="right"/>
    </xf>
    <xf numFmtId="1" fontId="2" fillId="0" borderId="0" xfId="2" applyNumberFormat="1" applyFont="1" applyBorder="1"/>
    <xf numFmtId="0" fontId="3" fillId="0" borderId="0" xfId="0" applyFont="1"/>
    <xf numFmtId="0" fontId="1" fillId="0" borderId="9" xfId="0" applyFont="1" applyBorder="1" applyAlignment="1">
      <alignment horizontal="center" vertical="center" wrapText="1"/>
    </xf>
    <xf numFmtId="0" fontId="0" fillId="0" borderId="0" xfId="0" applyAlignment="1">
      <alignment horizontal="left"/>
    </xf>
    <xf numFmtId="0" fontId="1" fillId="0" borderId="1" xfId="0" applyFont="1" applyBorder="1" applyAlignment="1"/>
    <xf numFmtId="49" fontId="7" fillId="0" borderId="0" xfId="0" applyNumberFormat="1" applyFont="1" applyFill="1" applyBorder="1" applyAlignment="1">
      <alignment horizontal="left"/>
    </xf>
    <xf numFmtId="0" fontId="8" fillId="0" borderId="15" xfId="0" applyFont="1" applyBorder="1" applyAlignment="1">
      <alignment horizontal="center" vertical="center" wrapText="1"/>
    </xf>
    <xf numFmtId="164" fontId="0" fillId="0" borderId="0" xfId="1" applyNumberFormat="1" applyFont="1" applyBorder="1" applyAlignment="1">
      <alignment horizontal="right"/>
    </xf>
    <xf numFmtId="49" fontId="7" fillId="0" borderId="0" xfId="0" applyNumberFormat="1" applyFont="1" applyFill="1" applyBorder="1"/>
    <xf numFmtId="0" fontId="8" fillId="0" borderId="0" xfId="0" applyFont="1" applyBorder="1" applyAlignment="1">
      <alignment horizontal="center" vertical="center" wrapText="1"/>
    </xf>
    <xf numFmtId="9" fontId="8" fillId="0" borderId="3" xfId="0" applyNumberFormat="1" applyFont="1" applyFill="1" applyBorder="1" applyProtection="1">
      <protection locked="0"/>
    </xf>
    <xf numFmtId="0" fontId="9" fillId="0" borderId="0" xfId="0" applyFont="1" applyFill="1" applyBorder="1" applyAlignment="1"/>
    <xf numFmtId="164" fontId="0" fillId="0" borderId="6" xfId="1" applyNumberFormat="1" applyFont="1" applyBorder="1" applyAlignment="1">
      <alignment horizontal="right"/>
    </xf>
    <xf numFmtId="164" fontId="0" fillId="0" borderId="2" xfId="1" applyNumberFormat="1" applyFont="1" applyBorder="1" applyAlignment="1">
      <alignment horizontal="right"/>
    </xf>
    <xf numFmtId="0" fontId="8" fillId="0" borderId="5" xfId="0" applyFont="1" applyBorder="1" applyAlignment="1">
      <alignment horizontal="center" vertical="center" wrapText="1"/>
    </xf>
    <xf numFmtId="0" fontId="9" fillId="0" borderId="16" xfId="0" applyFont="1" applyFill="1" applyBorder="1" applyAlignment="1"/>
    <xf numFmtId="164" fontId="0" fillId="0" borderId="17" xfId="1" applyNumberFormat="1" applyFont="1" applyBorder="1" applyAlignment="1">
      <alignment horizontal="right"/>
    </xf>
    <xf numFmtId="164" fontId="0" fillId="0" borderId="16" xfId="1" applyNumberFormat="1" applyFont="1" applyBorder="1" applyAlignment="1">
      <alignment horizontal="right"/>
    </xf>
    <xf numFmtId="9" fontId="7" fillId="0" borderId="15" xfId="0" applyNumberFormat="1" applyFont="1" applyFill="1" applyBorder="1" applyProtection="1">
      <protection locked="0"/>
    </xf>
    <xf numFmtId="0" fontId="8" fillId="0" borderId="1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11" fillId="0" borderId="0" xfId="0" applyFont="1"/>
    <xf numFmtId="0" fontId="7" fillId="0" borderId="0" xfId="4" applyFont="1" applyFill="1" applyBorder="1" applyAlignment="1"/>
    <xf numFmtId="0" fontId="7" fillId="0" borderId="0" xfId="4" applyFont="1" applyFill="1" applyBorder="1"/>
    <xf numFmtId="0" fontId="0" fillId="0" borderId="0" xfId="0" applyFont="1" applyAlignment="1">
      <alignment wrapText="1"/>
    </xf>
    <xf numFmtId="0" fontId="0" fillId="0" borderId="0" xfId="0" applyAlignment="1">
      <alignment horizontal="left" vertical="center" wrapText="1"/>
    </xf>
    <xf numFmtId="0" fontId="5" fillId="0" borderId="0" xfId="0" applyFont="1"/>
    <xf numFmtId="0" fontId="12" fillId="0" borderId="0" xfId="0" applyFont="1"/>
    <xf numFmtId="0" fontId="9" fillId="0" borderId="13" xfId="0" applyFont="1" applyFill="1" applyBorder="1" applyAlignment="1">
      <alignment horizontal="center" vertical="center"/>
    </xf>
    <xf numFmtId="0" fontId="9" fillId="0" borderId="11" xfId="0" applyFont="1" applyBorder="1" applyAlignment="1">
      <alignment horizontal="center" vertical="center"/>
    </xf>
    <xf numFmtId="0" fontId="12" fillId="0" borderId="0" xfId="0" applyFont="1" applyAlignment="1">
      <alignment horizontal="left" vertical="top" wrapText="1"/>
    </xf>
    <xf numFmtId="0" fontId="12" fillId="0" borderId="0" xfId="0" applyFont="1" applyAlignment="1">
      <alignment vertical="center"/>
    </xf>
    <xf numFmtId="0" fontId="8" fillId="0" borderId="19" xfId="0" applyFont="1" applyBorder="1" applyAlignment="1">
      <alignment horizontal="center" vertical="center" wrapText="1"/>
    </xf>
    <xf numFmtId="9" fontId="7" fillId="3" borderId="6" xfId="2" applyNumberFormat="1" applyFont="1" applyFill="1" applyBorder="1" applyAlignment="1">
      <alignment horizontal="right"/>
    </xf>
    <xf numFmtId="0" fontId="8" fillId="0" borderId="13"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12" fillId="0" borderId="0" xfId="0" applyFont="1" applyFill="1" applyAlignment="1">
      <alignment vertical="center"/>
    </xf>
    <xf numFmtId="0" fontId="7" fillId="0" borderId="0" xfId="0" applyFont="1" applyFill="1" applyAlignment="1">
      <alignment vertical="center" wrapText="1"/>
    </xf>
    <xf numFmtId="0" fontId="12" fillId="0" borderId="0" xfId="0" applyFont="1" applyFill="1" applyAlignment="1">
      <alignment horizontal="left" vertical="center"/>
    </xf>
    <xf numFmtId="0" fontId="0" fillId="0" borderId="0" xfId="0" applyFill="1" applyAlignment="1">
      <alignment vertical="center"/>
    </xf>
    <xf numFmtId="9" fontId="0" fillId="0" borderId="0" xfId="0" applyNumberFormat="1" applyAlignment="1"/>
    <xf numFmtId="0" fontId="0" fillId="0" borderId="0" xfId="0" applyFont="1" applyAlignment="1">
      <alignment vertical="center"/>
    </xf>
    <xf numFmtId="0" fontId="13" fillId="0" borderId="0" xfId="4" applyFont="1" applyFill="1" applyBorder="1" applyAlignment="1"/>
    <xf numFmtId="0" fontId="12" fillId="0" borderId="0" xfId="0" applyFont="1" applyAlignment="1"/>
    <xf numFmtId="0" fontId="8" fillId="0" borderId="0" xfId="4" applyFont="1" applyBorder="1"/>
    <xf numFmtId="0" fontId="12" fillId="0" borderId="0" xfId="0" applyFont="1" applyFill="1" applyAlignment="1">
      <alignment vertical="center" wrapText="1"/>
    </xf>
    <xf numFmtId="0" fontId="12" fillId="0" borderId="0" xfId="0" applyFont="1" applyFill="1" applyAlignment="1">
      <alignment horizontal="left" vertical="top"/>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8" fillId="0" borderId="23" xfId="0" applyFont="1" applyBorder="1" applyAlignment="1">
      <alignment horizontal="center" vertical="center" wrapText="1"/>
    </xf>
    <xf numFmtId="0" fontId="0" fillId="0" borderId="0" xfId="0" applyFont="1" applyAlignment="1"/>
    <xf numFmtId="0" fontId="8" fillId="0" borderId="20" xfId="0" applyFont="1" applyBorder="1" applyAlignment="1">
      <alignment horizontal="center" vertical="center" wrapText="1"/>
    </xf>
    <xf numFmtId="0" fontId="3" fillId="0" borderId="0" xfId="0" applyFont="1" applyAlignment="1"/>
    <xf numFmtId="9" fontId="8" fillId="0" borderId="2" xfId="0" applyNumberFormat="1" applyFont="1" applyFill="1" applyBorder="1" applyProtection="1">
      <protection locked="0"/>
    </xf>
    <xf numFmtId="0" fontId="0" fillId="0" borderId="0" xfId="1" quotePrefix="1" applyNumberFormat="1" applyFont="1" applyBorder="1" applyAlignment="1">
      <alignment horizontal="right"/>
    </xf>
    <xf numFmtId="9" fontId="7" fillId="0" borderId="6" xfId="2" applyNumberFormat="1" applyFont="1" applyFill="1" applyBorder="1" applyAlignment="1">
      <alignment horizontal="right"/>
    </xf>
    <xf numFmtId="9" fontId="7" fillId="0" borderId="2" xfId="2" applyNumberFormat="1" applyFont="1" applyFill="1" applyBorder="1" applyAlignment="1">
      <alignment horizontal="right"/>
    </xf>
    <xf numFmtId="0" fontId="8" fillId="0" borderId="6" xfId="0" applyFont="1" applyBorder="1" applyAlignment="1">
      <alignment horizontal="center" vertical="center" wrapText="1"/>
    </xf>
    <xf numFmtId="9" fontId="0" fillId="0" borderId="0" xfId="2" applyNumberFormat="1" applyFont="1"/>
    <xf numFmtId="49" fontId="3" fillId="0" borderId="0" xfId="0" applyNumberFormat="1" applyFont="1" applyFill="1" applyBorder="1"/>
    <xf numFmtId="0" fontId="1" fillId="0" borderId="2" xfId="0" applyFont="1" applyBorder="1" applyAlignment="1">
      <alignment horizontal="center" vertical="center" wrapText="1"/>
    </xf>
    <xf numFmtId="164" fontId="12" fillId="0" borderId="6" xfId="1" applyNumberFormat="1" applyFont="1" applyBorder="1" applyAlignment="1">
      <alignment horizontal="right"/>
    </xf>
    <xf numFmtId="0" fontId="9" fillId="0" borderId="3" xfId="0" applyFont="1" applyBorder="1" applyAlignment="1">
      <alignment vertical="center"/>
    </xf>
    <xf numFmtId="164" fontId="9" fillId="0" borderId="1" xfId="1" applyNumberFormat="1" applyFont="1" applyBorder="1" applyAlignment="1">
      <alignment horizontal="right"/>
    </xf>
    <xf numFmtId="164" fontId="9" fillId="0" borderId="7" xfId="1" applyNumberFormat="1" applyFont="1" applyBorder="1" applyAlignment="1">
      <alignment horizontal="right"/>
    </xf>
    <xf numFmtId="164" fontId="12" fillId="0" borderId="0" xfId="1" applyNumberFormat="1" applyFont="1" applyBorder="1" applyAlignment="1">
      <alignment horizontal="right"/>
    </xf>
    <xf numFmtId="169" fontId="12" fillId="0" borderId="6" xfId="1" applyNumberFormat="1" applyFont="1" applyBorder="1" applyAlignment="1">
      <alignment horizontal="right"/>
    </xf>
    <xf numFmtId="164" fontId="12" fillId="0" borderId="2" xfId="1" applyNumberFormat="1" applyFont="1" applyBorder="1" applyAlignment="1">
      <alignment horizontal="right"/>
    </xf>
    <xf numFmtId="0" fontId="14" fillId="0" borderId="0" xfId="0" applyFont="1"/>
    <xf numFmtId="0" fontId="9" fillId="0" borderId="3" xfId="0" applyFont="1" applyBorder="1"/>
    <xf numFmtId="0" fontId="12" fillId="0" borderId="0" xfId="0" applyFont="1" applyBorder="1"/>
    <xf numFmtId="164" fontId="12" fillId="0" borderId="15" xfId="1" applyNumberFormat="1" applyFont="1" applyBorder="1" applyAlignment="1">
      <alignment horizontal="right"/>
    </xf>
    <xf numFmtId="168" fontId="12" fillId="0" borderId="0" xfId="1" applyNumberFormat="1" applyFont="1" applyBorder="1" applyAlignment="1">
      <alignment horizontal="right"/>
    </xf>
    <xf numFmtId="9" fontId="12" fillId="0" borderId="15" xfId="1" applyNumberFormat="1" applyFont="1" applyFill="1" applyBorder="1" applyAlignment="1">
      <alignment horizontal="right"/>
    </xf>
    <xf numFmtId="168" fontId="12" fillId="0" borderId="6" xfId="1" applyNumberFormat="1" applyFont="1" applyBorder="1" applyAlignment="1">
      <alignment horizontal="right"/>
    </xf>
    <xf numFmtId="9" fontId="8" fillId="3" borderId="1" xfId="2" applyNumberFormat="1" applyFont="1" applyFill="1" applyBorder="1" applyAlignment="1">
      <alignment horizontal="right"/>
    </xf>
    <xf numFmtId="9" fontId="8" fillId="0" borderId="9" xfId="2" applyNumberFormat="1" applyFont="1" applyFill="1" applyBorder="1" applyAlignment="1">
      <alignment horizontal="right"/>
    </xf>
    <xf numFmtId="9" fontId="7" fillId="0" borderId="13" xfId="2" applyNumberFormat="1" applyFont="1" applyFill="1" applyBorder="1" applyAlignment="1">
      <alignment horizontal="right"/>
    </xf>
    <xf numFmtId="9" fontId="7" fillId="0" borderId="5" xfId="2" applyNumberFormat="1" applyFont="1" applyFill="1" applyBorder="1" applyAlignment="1">
      <alignment horizontal="right"/>
    </xf>
    <xf numFmtId="0" fontId="9" fillId="0" borderId="25" xfId="0" applyFont="1" applyBorder="1" applyAlignment="1">
      <alignment horizontal="left" vertical="center" wrapText="1"/>
    </xf>
    <xf numFmtId="164" fontId="9" fillId="0" borderId="2" xfId="1" applyNumberFormat="1" applyFont="1" applyBorder="1" applyAlignment="1">
      <alignment horizontal="right"/>
    </xf>
    <xf numFmtId="164" fontId="9" fillId="0" borderId="25" xfId="1" applyNumberFormat="1" applyFont="1" applyBorder="1" applyAlignment="1">
      <alignment horizontal="right"/>
    </xf>
    <xf numFmtId="164" fontId="9" fillId="0" borderId="9" xfId="1" applyNumberFormat="1" applyFont="1" applyBorder="1" applyAlignment="1">
      <alignment horizontal="right"/>
    </xf>
    <xf numFmtId="164" fontId="9" fillId="0" borderId="26" xfId="1" applyNumberFormat="1" applyFont="1" applyBorder="1" applyAlignment="1">
      <alignment horizontal="right"/>
    </xf>
    <xf numFmtId="49" fontId="12" fillId="0" borderId="0" xfId="0" applyNumberFormat="1" applyFont="1" applyBorder="1" applyAlignment="1">
      <alignment horizontal="left" vertical="center" wrapText="1"/>
    </xf>
    <xf numFmtId="168" fontId="12" fillId="0" borderId="15" xfId="1" applyNumberFormat="1" applyFont="1" applyBorder="1" applyAlignment="1">
      <alignment horizontal="right"/>
    </xf>
    <xf numFmtId="164" fontId="12" fillId="0" borderId="21" xfId="1" applyNumberFormat="1" applyFont="1" applyBorder="1" applyAlignment="1">
      <alignment horizontal="right"/>
    </xf>
    <xf numFmtId="0" fontId="12" fillId="0" borderId="10" xfId="0" applyFont="1" applyBorder="1" applyAlignment="1">
      <alignment horizontal="left" vertical="center" wrapText="1"/>
    </xf>
    <xf numFmtId="164" fontId="12" fillId="0" borderId="3" xfId="1" applyNumberFormat="1" applyFont="1" applyBorder="1"/>
    <xf numFmtId="164" fontId="12" fillId="0" borderId="27" xfId="1" applyNumberFormat="1" applyFont="1" applyFill="1" applyBorder="1" applyAlignment="1">
      <alignment horizontal="right"/>
    </xf>
    <xf numFmtId="0" fontId="9" fillId="0" borderId="1" xfId="0" applyFont="1" applyBorder="1" applyAlignment="1">
      <alignment horizontal="center" vertical="center" wrapText="1"/>
    </xf>
    <xf numFmtId="0" fontId="12" fillId="0" borderId="15" xfId="0" applyFont="1" applyBorder="1"/>
    <xf numFmtId="165" fontId="12" fillId="0" borderId="6" xfId="0" applyNumberFormat="1" applyFont="1" applyBorder="1" applyAlignment="1">
      <alignment horizontal="right"/>
    </xf>
    <xf numFmtId="0" fontId="12" fillId="0" borderId="9" xfId="0" applyFont="1" applyBorder="1"/>
    <xf numFmtId="165" fontId="12" fillId="0" borderId="2" xfId="0" applyNumberFormat="1" applyFont="1" applyBorder="1" applyAlignment="1">
      <alignment horizontal="right"/>
    </xf>
    <xf numFmtId="0" fontId="9" fillId="0" borderId="13" xfId="0" applyFont="1" applyBorder="1" applyAlignment="1">
      <alignment horizontal="center" vertical="center" wrapText="1"/>
    </xf>
    <xf numFmtId="5" fontId="9" fillId="0" borderId="1" xfId="1" applyNumberFormat="1" applyFont="1" applyBorder="1" applyAlignment="1">
      <alignment horizontal="right"/>
    </xf>
    <xf numFmtId="5" fontId="12" fillId="0" borderId="6" xfId="1" applyNumberFormat="1" applyFont="1" applyBorder="1" applyAlignment="1">
      <alignment horizontal="left" vertical="center"/>
    </xf>
    <xf numFmtId="5" fontId="12" fillId="0" borderId="6" xfId="1" applyNumberFormat="1" applyFont="1" applyBorder="1" applyAlignment="1">
      <alignment horizontal="left"/>
    </xf>
    <xf numFmtId="5" fontId="9" fillId="0" borderId="6" xfId="1" applyNumberFormat="1" applyFont="1" applyBorder="1" applyAlignment="1">
      <alignment horizontal="left"/>
    </xf>
    <xf numFmtId="5" fontId="9" fillId="0" borderId="2" xfId="1" applyNumberFormat="1" applyFont="1" applyBorder="1" applyAlignment="1">
      <alignment horizontal="left"/>
    </xf>
    <xf numFmtId="5" fontId="12" fillId="0" borderId="6" xfId="1" applyNumberFormat="1" applyFont="1" applyBorder="1" applyAlignment="1">
      <alignment vertical="center"/>
    </xf>
    <xf numFmtId="5" fontId="12" fillId="0" borderId="6" xfId="1" applyNumberFormat="1" applyFont="1" applyBorder="1" applyAlignment="1">
      <alignment horizontal="right"/>
    </xf>
    <xf numFmtId="5" fontId="12" fillId="0" borderId="6" xfId="1" applyNumberFormat="1" applyFont="1" applyBorder="1"/>
    <xf numFmtId="5" fontId="12" fillId="0" borderId="2" xfId="1" applyNumberFormat="1" applyFont="1" applyBorder="1"/>
    <xf numFmtId="5" fontId="9" fillId="0" borderId="1" xfId="1" applyNumberFormat="1" applyFont="1" applyBorder="1" applyAlignment="1">
      <alignment horizontal="left"/>
    </xf>
    <xf numFmtId="5" fontId="12" fillId="0" borderId="2" xfId="1" applyNumberFormat="1" applyFont="1" applyBorder="1" applyAlignment="1">
      <alignment horizontal="left"/>
    </xf>
    <xf numFmtId="5" fontId="12" fillId="0" borderId="2" xfId="1" applyNumberFormat="1" applyFont="1" applyBorder="1" applyAlignment="1">
      <alignment horizontal="right"/>
    </xf>
    <xf numFmtId="0" fontId="9" fillId="0" borderId="15" xfId="0" applyFont="1" applyBorder="1" applyAlignment="1">
      <alignment horizontal="center" vertical="center" wrapText="1"/>
    </xf>
    <xf numFmtId="49" fontId="12" fillId="0" borderId="0" xfId="1" applyNumberFormat="1" applyFont="1" applyBorder="1" applyAlignment="1">
      <alignment horizontal="left"/>
    </xf>
    <xf numFmtId="1" fontId="12" fillId="0" borderId="6" xfId="1" applyNumberFormat="1" applyFont="1" applyBorder="1" applyAlignment="1">
      <alignment horizontal="right"/>
    </xf>
    <xf numFmtId="1" fontId="12" fillId="0" borderId="0" xfId="1" applyNumberFormat="1" applyFont="1" applyBorder="1" applyAlignment="1">
      <alignment horizontal="right"/>
    </xf>
    <xf numFmtId="1" fontId="7" fillId="0" borderId="6" xfId="1" applyNumberFormat="1" applyFont="1" applyBorder="1" applyAlignment="1">
      <alignment horizontal="right"/>
    </xf>
    <xf numFmtId="1" fontId="12" fillId="0" borderId="15" xfId="1" applyNumberFormat="1" applyFont="1" applyBorder="1" applyAlignment="1">
      <alignment horizontal="right"/>
    </xf>
    <xf numFmtId="1" fontId="12" fillId="0" borderId="6" xfId="0" applyNumberFormat="1" applyFont="1" applyBorder="1"/>
    <xf numFmtId="1" fontId="12" fillId="0" borderId="6" xfId="0" applyNumberFormat="1" applyFont="1" applyBorder="1" applyAlignment="1">
      <alignment horizontal="right"/>
    </xf>
    <xf numFmtId="49" fontId="12" fillId="0" borderId="0" xfId="0" applyNumberFormat="1" applyFont="1" applyBorder="1" applyAlignment="1">
      <alignment horizontal="left"/>
    </xf>
    <xf numFmtId="1" fontId="12" fillId="0" borderId="0" xfId="0" applyNumberFormat="1" applyFont="1" applyBorder="1"/>
    <xf numFmtId="1" fontId="12" fillId="0" borderId="0" xfId="0" applyNumberFormat="1" applyFont="1" applyBorder="1" applyAlignment="1">
      <alignment horizontal="right"/>
    </xf>
    <xf numFmtId="49" fontId="12" fillId="0" borderId="0" xfId="1" applyNumberFormat="1" applyFont="1" applyFill="1" applyBorder="1" applyAlignment="1">
      <alignment horizontal="left"/>
    </xf>
    <xf numFmtId="1" fontId="12" fillId="0" borderId="6" xfId="1" applyNumberFormat="1" applyFont="1" applyFill="1" applyBorder="1" applyAlignment="1">
      <alignment horizontal="right"/>
    </xf>
    <xf numFmtId="1" fontId="12" fillId="0" borderId="0" xfId="1" applyNumberFormat="1" applyFont="1" applyBorder="1"/>
    <xf numFmtId="1" fontId="12" fillId="0" borderId="6" xfId="1" applyNumberFormat="1" applyFont="1" applyBorder="1"/>
    <xf numFmtId="1" fontId="12" fillId="0" borderId="0" xfId="1" applyNumberFormat="1" applyFont="1" applyFill="1" applyBorder="1" applyAlignment="1">
      <alignment horizontal="right"/>
    </xf>
    <xf numFmtId="1" fontId="12" fillId="0" borderId="6" xfId="0" applyNumberFormat="1" applyFont="1" applyFill="1" applyBorder="1"/>
    <xf numFmtId="49" fontId="12" fillId="0" borderId="0" xfId="0" applyNumberFormat="1" applyFont="1" applyFill="1" applyBorder="1" applyAlignment="1">
      <alignment horizontal="left"/>
    </xf>
    <xf numFmtId="1" fontId="12" fillId="0" borderId="2" xfId="0" applyNumberFormat="1" applyFont="1" applyBorder="1"/>
    <xf numFmtId="1" fontId="12" fillId="0" borderId="2" xfId="0" applyNumberFormat="1" applyFont="1" applyBorder="1" applyAlignment="1">
      <alignment horizontal="right"/>
    </xf>
    <xf numFmtId="49" fontId="9" fillId="0" borderId="25" xfId="1" applyNumberFormat="1" applyFont="1" applyBorder="1" applyAlignment="1">
      <alignment horizontal="left"/>
    </xf>
    <xf numFmtId="1" fontId="9" fillId="0" borderId="1" xfId="1" applyNumberFormat="1" applyFont="1" applyBorder="1" applyAlignment="1">
      <alignment horizontal="right"/>
    </xf>
    <xf numFmtId="1" fontId="9" fillId="0" borderId="25" xfId="1" applyNumberFormat="1" applyFont="1" applyBorder="1" applyAlignment="1">
      <alignment horizontal="right"/>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3" fontId="1" fillId="0" borderId="10" xfId="0" applyNumberFormat="1" applyFont="1" applyBorder="1"/>
    <xf numFmtId="3" fontId="1" fillId="0" borderId="27" xfId="0" applyNumberFormat="1" applyFont="1" applyBorder="1"/>
    <xf numFmtId="3" fontId="0" fillId="0" borderId="5" xfId="0" applyNumberFormat="1" applyFont="1" applyBorder="1"/>
    <xf numFmtId="3" fontId="0" fillId="0" borderId="13" xfId="0" applyNumberFormat="1" applyFont="1" applyBorder="1"/>
    <xf numFmtId="165" fontId="9" fillId="0" borderId="1" xfId="0" applyNumberFormat="1" applyFont="1" applyBorder="1" applyAlignment="1">
      <alignment horizontal="right"/>
    </xf>
    <xf numFmtId="166" fontId="8" fillId="3" borderId="1" xfId="2" applyNumberFormat="1" applyFont="1" applyFill="1" applyBorder="1" applyAlignment="1">
      <alignment horizontal="right"/>
    </xf>
    <xf numFmtId="166" fontId="7" fillId="0" borderId="6" xfId="2" applyNumberFormat="1" applyFont="1" applyFill="1" applyBorder="1" applyAlignment="1">
      <alignment horizontal="right"/>
    </xf>
    <xf numFmtId="166" fontId="7" fillId="3" borderId="6" xfId="2" applyNumberFormat="1" applyFont="1" applyFill="1" applyBorder="1" applyAlignment="1">
      <alignment horizontal="right"/>
    </xf>
    <xf numFmtId="1" fontId="7" fillId="2" borderId="24" xfId="0" applyNumberFormat="1" applyFont="1" applyFill="1" applyBorder="1" applyAlignment="1">
      <alignment horizontal="right" vertical="center"/>
    </xf>
    <xf numFmtId="9" fontId="7" fillId="0" borderId="5" xfId="0" applyNumberFormat="1" applyFont="1" applyFill="1" applyBorder="1" applyProtection="1">
      <protection locked="0"/>
    </xf>
    <xf numFmtId="9" fontId="7" fillId="0" borderId="6" xfId="0" applyNumberFormat="1" applyFont="1" applyFill="1" applyBorder="1" applyProtection="1">
      <protection locked="0"/>
    </xf>
    <xf numFmtId="9" fontId="8" fillId="0" borderId="1" xfId="0" applyNumberFormat="1" applyFont="1" applyFill="1" applyBorder="1" applyProtection="1">
      <protection locked="0"/>
    </xf>
    <xf numFmtId="9" fontId="7" fillId="0" borderId="6" xfId="0" applyNumberFormat="1" applyFont="1" applyFill="1" applyBorder="1" applyAlignment="1" applyProtection="1">
      <alignment horizontal="right"/>
      <protection locked="0"/>
    </xf>
    <xf numFmtId="9" fontId="7" fillId="0" borderId="2" xfId="0" applyNumberFormat="1" applyFont="1" applyFill="1" applyBorder="1" applyProtection="1">
      <protection locked="0"/>
    </xf>
    <xf numFmtId="9" fontId="7" fillId="0" borderId="9" xfId="0" applyNumberFormat="1" applyFont="1" applyFill="1" applyBorder="1" applyAlignment="1" applyProtection="1">
      <alignment horizontal="right"/>
      <protection locked="0"/>
    </xf>
    <xf numFmtId="9" fontId="7" fillId="0" borderId="2" xfId="0" applyNumberFormat="1" applyFont="1" applyFill="1" applyBorder="1" applyAlignment="1" applyProtection="1">
      <alignment horizontal="right"/>
      <protection locked="0"/>
    </xf>
    <xf numFmtId="0" fontId="11" fillId="0" borderId="0" xfId="0" applyFont="1" applyFill="1" applyAlignment="1">
      <alignment horizontal="left"/>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5" xfId="0" applyFont="1" applyBorder="1"/>
    <xf numFmtId="9" fontId="9" fillId="0" borderId="9" xfId="1" applyNumberFormat="1" applyFont="1" applyFill="1" applyBorder="1" applyAlignment="1">
      <alignment horizontal="right"/>
    </xf>
    <xf numFmtId="167" fontId="12" fillId="0" borderId="6" xfId="1" applyNumberFormat="1" applyFont="1" applyBorder="1" applyAlignment="1">
      <alignment horizontal="right"/>
    </xf>
    <xf numFmtId="0" fontId="12" fillId="0" borderId="0" xfId="0" applyFont="1" applyFill="1" applyBorder="1" applyAlignment="1">
      <alignment horizontal="left"/>
    </xf>
    <xf numFmtId="0" fontId="8" fillId="0" borderId="28" xfId="0" applyFont="1" applyBorder="1" applyAlignment="1">
      <alignment horizontal="center" vertical="center" wrapText="1"/>
    </xf>
    <xf numFmtId="0" fontId="0" fillId="0" borderId="0" xfId="0" applyFont="1" applyFill="1" applyAlignment="1">
      <alignment horizontal="right" wrapText="1"/>
    </xf>
    <xf numFmtId="9" fontId="0" fillId="0" borderId="0" xfId="0" applyNumberFormat="1" applyFont="1" applyFill="1" applyAlignment="1">
      <alignment horizontal="right" wrapText="1"/>
    </xf>
    <xf numFmtId="0" fontId="0" fillId="0" borderId="1"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0" xfId="0" applyFont="1" applyFill="1" applyAlignment="1">
      <alignment horizontal="right"/>
    </xf>
    <xf numFmtId="9" fontId="0" fillId="0" borderId="0" xfId="0" applyNumberFormat="1" applyFont="1" applyFill="1" applyAlignment="1">
      <alignment horizontal="right"/>
    </xf>
    <xf numFmtId="0" fontId="7" fillId="0" borderId="28" xfId="0" applyFont="1" applyBorder="1" applyAlignment="1">
      <alignment horizontal="center" vertical="center" wrapText="1"/>
    </xf>
    <xf numFmtId="165" fontId="0" fillId="0" borderId="0" xfId="0" applyNumberFormat="1" applyFont="1" applyFill="1" applyAlignment="1">
      <alignment horizontal="right"/>
    </xf>
    <xf numFmtId="168" fontId="7" fillId="0" borderId="6" xfId="1" applyNumberFormat="1" applyFont="1" applyBorder="1" applyAlignment="1">
      <alignment horizontal="right"/>
    </xf>
    <xf numFmtId="164" fontId="0" fillId="0" borderId="0" xfId="1" applyNumberFormat="1" applyFont="1" applyFill="1" applyAlignment="1">
      <alignment horizontal="right" wrapText="1"/>
    </xf>
    <xf numFmtId="9" fontId="0" fillId="0" borderId="0" xfId="2" applyFont="1" applyFill="1" applyAlignment="1">
      <alignment horizontal="right"/>
    </xf>
    <xf numFmtId="9" fontId="0" fillId="0" borderId="0" xfId="2" applyFont="1" applyFill="1" applyAlignment="1">
      <alignment horizontal="right" wrapText="1"/>
    </xf>
    <xf numFmtId="0" fontId="1" fillId="0" borderId="4" xfId="0" applyFont="1" applyBorder="1" applyAlignment="1">
      <alignment horizontal="left"/>
    </xf>
    <xf numFmtId="9" fontId="8" fillId="0" borderId="13" xfId="0" applyNumberFormat="1" applyFont="1" applyFill="1" applyBorder="1" applyProtection="1">
      <protection locked="0"/>
    </xf>
    <xf numFmtId="9" fontId="7" fillId="0" borderId="13" xfId="0" applyNumberFormat="1" applyFont="1" applyFill="1" applyBorder="1" applyProtection="1">
      <protection locked="0"/>
    </xf>
    <xf numFmtId="9" fontId="7" fillId="0" borderId="9" xfId="0" applyNumberFormat="1" applyFont="1" applyFill="1" applyBorder="1" applyProtection="1">
      <protection locked="0"/>
    </xf>
    <xf numFmtId="164" fontId="9" fillId="0" borderId="22" xfId="1" applyNumberFormat="1" applyFont="1" applyFill="1" applyBorder="1" applyAlignment="1">
      <alignment horizontal="right" vertical="center"/>
    </xf>
    <xf numFmtId="164" fontId="12" fillId="2" borderId="21" xfId="1" applyNumberFormat="1" applyFont="1" applyFill="1" applyBorder="1" applyAlignment="1">
      <alignment horizontal="right" vertical="center"/>
    </xf>
    <xf numFmtId="164" fontId="12" fillId="0" borderId="21" xfId="1" applyNumberFormat="1" applyFont="1" applyFill="1" applyBorder="1" applyAlignment="1">
      <alignment horizontal="right"/>
    </xf>
    <xf numFmtId="168" fontId="9" fillId="0" borderId="1" xfId="1" applyNumberFormat="1" applyFont="1" applyBorder="1" applyAlignment="1">
      <alignment horizontal="right"/>
    </xf>
    <xf numFmtId="168" fontId="12" fillId="0" borderId="2" xfId="1" applyNumberFormat="1" applyFont="1" applyBorder="1" applyAlignment="1">
      <alignment horizontal="right"/>
    </xf>
    <xf numFmtId="3" fontId="9" fillId="0" borderId="1" xfId="1" applyNumberFormat="1" applyFont="1" applyBorder="1" applyAlignment="1">
      <alignment horizontal="right"/>
    </xf>
    <xf numFmtId="3" fontId="9" fillId="0" borderId="7" xfId="1" applyNumberFormat="1" applyFont="1" applyBorder="1" applyAlignment="1">
      <alignment horizontal="right"/>
    </xf>
    <xf numFmtId="3" fontId="12" fillId="0" borderId="6" xfId="1" applyNumberFormat="1" applyFont="1" applyBorder="1" applyAlignment="1">
      <alignment horizontal="right"/>
    </xf>
    <xf numFmtId="3" fontId="12" fillId="0" borderId="0" xfId="1" applyNumberFormat="1" applyFont="1" applyBorder="1" applyAlignment="1">
      <alignment horizontal="right"/>
    </xf>
    <xf numFmtId="3" fontId="12" fillId="0" borderId="2" xfId="1" applyNumberFormat="1" applyFont="1" applyBorder="1" applyAlignment="1">
      <alignment horizontal="right"/>
    </xf>
    <xf numFmtId="168" fontId="12" fillId="0" borderId="5" xfId="1" applyNumberFormat="1" applyFont="1" applyBorder="1" applyAlignment="1">
      <alignment horizontal="right"/>
    </xf>
    <xf numFmtId="0" fontId="3" fillId="0" borderId="0" xfId="0" applyFont="1" applyFill="1" applyAlignment="1">
      <alignment horizontal="right"/>
    </xf>
    <xf numFmtId="0" fontId="3" fillId="0" borderId="0" xfId="0" applyFont="1" applyFill="1" applyAlignment="1">
      <alignment horizontal="right" wrapText="1"/>
    </xf>
    <xf numFmtId="0" fontId="4" fillId="0" borderId="0" xfId="3" applyFill="1"/>
    <xf numFmtId="0" fontId="9" fillId="0" borderId="12" xfId="0" applyFont="1" applyBorder="1" applyAlignment="1">
      <alignment horizontal="center" vertical="center" wrapText="1"/>
    </xf>
    <xf numFmtId="9" fontId="7" fillId="0" borderId="27" xfId="2" applyNumberFormat="1" applyFont="1" applyFill="1" applyBorder="1" applyAlignment="1">
      <alignment horizontal="right"/>
    </xf>
    <xf numFmtId="0" fontId="9"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2" fillId="0" borderId="0" xfId="4" applyFont="1" applyFill="1" applyBorder="1" applyAlignment="1" applyProtection="1">
      <protection locked="0"/>
    </xf>
    <xf numFmtId="0" fontId="12" fillId="0" borderId="0" xfId="4" applyFont="1" applyFill="1" applyBorder="1" applyProtection="1">
      <protection locked="0"/>
    </xf>
    <xf numFmtId="9" fontId="9" fillId="0" borderId="2" xfId="0" applyNumberFormat="1" applyFont="1" applyFill="1" applyBorder="1" applyProtection="1">
      <protection locked="0"/>
    </xf>
    <xf numFmtId="9" fontId="9" fillId="0" borderId="3" xfId="0" applyNumberFormat="1" applyFont="1" applyFill="1" applyBorder="1" applyProtection="1">
      <protection locked="0"/>
    </xf>
    <xf numFmtId="49" fontId="12" fillId="0" borderId="0" xfId="0" applyNumberFormat="1" applyFont="1" applyFill="1" applyBorder="1"/>
    <xf numFmtId="9" fontId="12" fillId="0" borderId="15" xfId="0" applyNumberFormat="1" applyFont="1" applyFill="1" applyBorder="1" applyProtection="1">
      <protection locked="0"/>
    </xf>
    <xf numFmtId="9" fontId="12" fillId="0" borderId="15" xfId="0" applyNumberFormat="1" applyFont="1" applyFill="1" applyBorder="1" applyAlignment="1" applyProtection="1">
      <alignment horizontal="right"/>
      <protection locked="0"/>
    </xf>
    <xf numFmtId="9" fontId="12" fillId="0" borderId="17" xfId="0" applyNumberFormat="1" applyFont="1" applyFill="1" applyBorder="1" applyProtection="1">
      <protection locked="0"/>
    </xf>
    <xf numFmtId="9" fontId="12" fillId="0" borderId="18" xfId="0" applyNumberFormat="1" applyFont="1" applyFill="1" applyBorder="1" applyProtection="1">
      <protection locked="0"/>
    </xf>
    <xf numFmtId="9" fontId="12" fillId="0" borderId="6" xfId="0" applyNumberFormat="1" applyFont="1" applyFill="1" applyBorder="1" applyProtection="1">
      <protection locked="0"/>
    </xf>
    <xf numFmtId="9" fontId="12" fillId="0" borderId="6" xfId="0" applyNumberFormat="1" applyFont="1" applyFill="1" applyBorder="1" applyAlignment="1" applyProtection="1">
      <alignment horizontal="right"/>
      <protection locked="0"/>
    </xf>
    <xf numFmtId="9" fontId="12" fillId="0" borderId="15" xfId="2" applyNumberFormat="1" applyFont="1" applyFill="1" applyBorder="1" applyAlignment="1">
      <alignment horizontal="right"/>
    </xf>
    <xf numFmtId="0" fontId="3" fillId="0" borderId="0" xfId="0" applyFont="1" applyFill="1" applyBorder="1" applyAlignment="1">
      <alignment horizontal="center" vertical="center" wrapText="1"/>
    </xf>
    <xf numFmtId="0" fontId="15" fillId="0" borderId="0" xfId="0" applyFont="1" applyAlignment="1">
      <alignment vertical="center"/>
    </xf>
    <xf numFmtId="0" fontId="0" fillId="0" borderId="0" xfId="0" applyFont="1" applyAlignment="1">
      <alignment horizontal="left" wrapText="1"/>
    </xf>
    <xf numFmtId="49" fontId="3" fillId="0" borderId="0" xfId="0" applyNumberFormat="1" applyFont="1" applyFill="1" applyBorder="1" applyAlignment="1">
      <alignment horizontal="center" vertical="center"/>
    </xf>
    <xf numFmtId="0" fontId="3" fillId="0" borderId="0" xfId="0" applyFont="1" applyAlignment="1">
      <alignment horizontal="center"/>
    </xf>
    <xf numFmtId="0" fontId="11" fillId="0" borderId="0" xfId="0" applyFont="1" applyFill="1"/>
    <xf numFmtId="0" fontId="11" fillId="0" borderId="0" xfId="0" applyFont="1" applyAlignment="1">
      <alignment horizontal="left"/>
    </xf>
    <xf numFmtId="0" fontId="9" fillId="0" borderId="0" xfId="0" applyFont="1"/>
  </cellXfs>
  <cellStyles count="5">
    <cellStyle name="Comma" xfId="1" builtinId="3"/>
    <cellStyle name="Heading 1" xfId="4" builtinId="16"/>
    <cellStyle name="Hyperlink" xfId="3" builtinId="8"/>
    <cellStyle name="Normal" xfId="0" builtinId="0"/>
    <cellStyle name="Percent" xfId="2" builtinId="5"/>
  </cellStyles>
  <dxfs count="110">
    <dxf>
      <font>
        <strike val="0"/>
        <outline val="0"/>
        <shadow val="0"/>
        <u val="none"/>
        <sz val="12"/>
        <color auto="1"/>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font>
      <numFmt numFmtId="1" formatCode="0"/>
      <border diagonalUp="0" diagonalDown="0" outline="0">
        <left style="thin">
          <color indexed="64"/>
        </left>
        <right style="thin">
          <color indexed="64"/>
        </right>
        <top/>
        <bottom/>
      </border>
    </dxf>
    <dxf>
      <font>
        <strike val="0"/>
        <outline val="0"/>
        <shadow val="0"/>
        <u val="none"/>
        <sz val="12"/>
      </font>
      <numFmt numFmtId="1" formatCode="0"/>
    </dxf>
    <dxf>
      <font>
        <strike val="0"/>
        <outline val="0"/>
        <shadow val="0"/>
        <u val="none"/>
        <sz val="12"/>
      </font>
      <numFmt numFmtId="1" formatCode="0"/>
      <border diagonalUp="0" diagonalDown="0" outline="0">
        <left style="thin">
          <color indexed="64"/>
        </left>
        <right style="thin">
          <color indexed="64"/>
        </right>
        <top/>
        <bottom/>
      </border>
    </dxf>
    <dxf>
      <font>
        <strike val="0"/>
        <outline val="0"/>
        <shadow val="0"/>
        <u val="none"/>
        <sz val="12"/>
      </font>
      <numFmt numFmtId="1" formatCode="0"/>
    </dxf>
    <dxf>
      <font>
        <strike val="0"/>
        <outline val="0"/>
        <shadow val="0"/>
        <u val="none"/>
        <sz val="12"/>
      </font>
      <numFmt numFmtId="1" formatCode="0"/>
      <border diagonalUp="0" diagonalDown="0" outline="0">
        <left style="thin">
          <color indexed="64"/>
        </left>
        <right style="thin">
          <color indexed="64"/>
        </right>
        <top/>
        <bottom/>
      </border>
    </dxf>
    <dxf>
      <font>
        <strike val="0"/>
        <outline val="0"/>
        <shadow val="0"/>
        <u val="none"/>
        <sz val="12"/>
      </font>
    </dxf>
    <dxf>
      <font>
        <strike val="0"/>
        <outline val="0"/>
        <shadow val="0"/>
        <u val="none"/>
        <sz val="12"/>
      </font>
      <numFmt numFmtId="1" formatCode="0"/>
      <border diagonalUp="0" diagonalDown="0" outline="0">
        <left style="thin">
          <color indexed="64"/>
        </left>
        <right style="thin">
          <color indexed="64"/>
        </right>
        <top/>
        <bottom/>
      </border>
    </dxf>
    <dxf>
      <font>
        <strike val="0"/>
        <outline val="0"/>
        <shadow val="0"/>
        <u val="none"/>
        <sz val="12"/>
      </font>
    </dxf>
    <dxf>
      <border diagonalUp="0" diagonalDown="0">
        <left style="thin">
          <color indexed="64"/>
        </left>
        <right style="thin">
          <color indexed="64"/>
        </right>
        <top style="thin">
          <color indexed="64"/>
        </top>
        <bottom style="thin">
          <color indexed="64"/>
        </bottom>
      </border>
    </dxf>
    <dxf>
      <font>
        <strike val="0"/>
        <outline val="0"/>
        <shadow val="0"/>
        <u val="none"/>
        <sz val="12"/>
      </font>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3" formatCode="#,##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Calibri"/>
        <scheme val="minor"/>
      </font>
      <numFmt numFmtId="3" formatCode="#,##0"/>
      <border diagonalUp="0" diagonalDown="0">
        <left style="thin">
          <color indexed="64"/>
        </left>
        <right style="thin">
          <color indexed="64"/>
        </right>
        <top style="thin">
          <color indexed="64"/>
        </top>
        <bottom/>
        <vertical/>
        <horizontal/>
      </border>
    </dxf>
    <dxf>
      <font>
        <b/>
        <i val="0"/>
        <strike val="0"/>
        <condense val="0"/>
        <extend val="0"/>
        <outline val="0"/>
        <shadow val="0"/>
        <u val="none"/>
        <vertAlign val="baseline"/>
        <sz val="11"/>
        <color theme="1"/>
        <name val="Calibri"/>
        <scheme val="minor"/>
      </font>
      <numFmt numFmtId="3" formatCode="#,##0"/>
      <border diagonalUp="0" diagonalDown="0">
        <left style="thick">
          <color indexed="64"/>
        </left>
        <right style="thin">
          <color indexed="64"/>
        </right>
        <top style="thin">
          <color indexed="64"/>
        </top>
        <bottom/>
        <vertical/>
        <horizontal/>
      </border>
    </dxf>
    <dxf>
      <font>
        <b/>
        <i val="0"/>
        <strike val="0"/>
        <condense val="0"/>
        <extend val="0"/>
        <outline val="0"/>
        <shadow val="0"/>
        <u val="none"/>
        <vertAlign val="baseline"/>
        <sz val="11"/>
        <color theme="1"/>
        <name val="Calibri"/>
        <scheme val="minor"/>
      </font>
      <numFmt numFmtId="3" formatCode="#,##0"/>
      <border diagonalUp="0" diagonalDown="0">
        <left/>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9" formatCode="&quot;£&quot;#,##0;\-&quot;£&quot;#,##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9" formatCode="&quot;£&quot;#,##0;\-&quot;£&quot;#,##0"/>
      <border diagonalUp="0" diagonalDown="0">
        <left style="thin">
          <color indexed="64"/>
        </left>
        <right style="thin">
          <color indexed="64"/>
        </right>
        <top/>
        <bottom/>
        <vertical/>
        <horizontal/>
      </border>
    </dxf>
    <dxf>
      <border outline="0">
        <right style="thin">
          <color indexed="64"/>
        </right>
        <bottom style="thin">
          <color indexed="64"/>
        </bottom>
      </border>
    </dxf>
    <dxf>
      <font>
        <strike val="0"/>
        <outline val="0"/>
        <shadow val="0"/>
        <u val="none"/>
        <sz val="12"/>
        <name val="Calibri"/>
        <scheme val="minor"/>
      </font>
    </dxf>
    <dxf>
      <font>
        <strike val="0"/>
        <outline val="0"/>
        <shadow val="0"/>
        <u val="none"/>
        <sz val="12"/>
        <name val="Calibri"/>
        <scheme val="minor"/>
      </font>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5" formatCode="&quot;£&quot;#,##0"/>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name val="Calibri"/>
        <scheme val="minor"/>
      </font>
      <border diagonalUp="0" diagonalDown="0" outline="0">
        <left style="thin">
          <color indexed="64"/>
        </left>
        <right/>
        <top/>
        <bottom/>
      </border>
    </dxf>
    <dxf>
      <font>
        <strike val="0"/>
        <outline val="0"/>
        <shadow val="0"/>
        <u val="none"/>
        <sz val="12"/>
        <name val="Calibri"/>
        <scheme val="minor"/>
      </font>
    </dxf>
    <dxf>
      <font>
        <strike val="0"/>
        <outline val="0"/>
        <shadow val="0"/>
        <u val="none"/>
        <sz val="12"/>
        <name val="Calibri"/>
        <scheme val="minor"/>
      </font>
      <border diagonalUp="0" diagonalDown="0" outline="0">
        <left style="medium">
          <color indexed="64"/>
        </left>
        <right style="medium">
          <color indexed="64"/>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solid">
          <fgColor indexed="64"/>
          <bgColor rgb="FFFFFFFF"/>
        </patternFill>
      </fill>
      <alignment horizontal="right" vertical="center" textRotation="0" wrapText="0" indent="0" justifyLastLine="0" shrinkToFit="0" readingOrder="0"/>
      <border diagonalUp="0" diagonalDown="0">
        <left style="thick">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ck">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0" formatCode="@"/>
      <alignment horizontal="left" vertical="center" textRotation="0" wrapText="1" indent="0" justifyLastLine="0" shrinkToFit="0" readingOrder="0"/>
    </dxf>
    <dxf>
      <border outline="0">
        <left style="thin">
          <color indexed="64"/>
        </left>
        <top style="thin">
          <color indexed="64"/>
        </top>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strike val="0"/>
        <outline val="0"/>
        <shadow val="0"/>
        <u val="none"/>
        <vertAlign val="baseline"/>
        <sz val="12"/>
        <name val="Calibri"/>
        <scheme val="minor"/>
      </font>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solid">
          <fgColor theme="0" tint="-0.14999847407452621"/>
          <bgColor theme="0" tint="-0.1499984740745262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8" formatCode="#,##0_ ;\-#,##0\ "/>
      <alignment horizontal="right" vertical="bottom" textRotation="0" wrapText="0" indent="0" justifyLastLine="0" shrinkToFit="0" readingOrder="0"/>
      <border diagonalUp="0" diagonalDown="0">
        <left style="thin">
          <color indexed="64"/>
        </left>
        <right style="thin">
          <color indexed="64"/>
        </right>
        <top/>
        <bottom/>
      </border>
    </dxf>
    <dxf>
      <font>
        <strike val="0"/>
        <outline val="0"/>
        <shadow val="0"/>
        <u val="none"/>
        <vertAlign val="baseline"/>
        <sz val="12"/>
        <name val="Calibri"/>
        <scheme val="minor"/>
      </font>
    </dxf>
    <dxf>
      <border outline="0">
        <right style="thin">
          <color rgb="FF000000"/>
        </right>
        <top style="thin">
          <color rgb="FF000000"/>
        </top>
      </border>
    </dxf>
    <dxf>
      <font>
        <b val="0"/>
        <i val="0"/>
        <strike val="0"/>
        <condense val="0"/>
        <extend val="0"/>
        <outline val="0"/>
        <shadow val="0"/>
        <u val="none"/>
        <vertAlign val="baseline"/>
        <sz val="12"/>
        <color theme="1"/>
        <name val="Calibri"/>
        <scheme val="minor"/>
      </font>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strike val="0"/>
        <outline val="0"/>
        <shadow val="0"/>
        <u val="no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protection locked="0" hidden="0"/>
    </dxf>
    <dxf>
      <font>
        <strike val="0"/>
        <outline val="0"/>
        <shadow val="0"/>
        <u val="none"/>
        <sz val="12"/>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sz val="12"/>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8" formatCode="#,##0_ ;\-#,##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8" formatCode="#,##0_ ;\-#,##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8" formatCode="#,##0_ ;\-#,##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8" formatCode="#,##0_ ;\-#,##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sz val="12"/>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8" formatCode="#,##0_ ;\-#,##0\ "/>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sz val="12"/>
        <name val="Calibri"/>
        <scheme val="minor"/>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top/>
        <bottom/>
        <vertical/>
        <horizontal/>
      </border>
      <protection locked="0" hidden="0"/>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dxf>
    <dxf>
      <border outline="0">
        <right style="thin">
          <color indexed="64"/>
        </right>
        <top style="thin">
          <color indexed="64"/>
        </top>
        <bottom style="thin">
          <color indexed="64"/>
        </bottom>
      </border>
    </dxf>
    <dxf>
      <font>
        <strike val="0"/>
        <outline val="0"/>
        <shadow val="0"/>
        <u val="none"/>
        <vertAlign val="baseline"/>
        <sz val="12"/>
        <name val="Calibri"/>
        <scheme val="minor"/>
      </font>
      <numFmt numFmtId="0" formatCode="General"/>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protection locked="0" hidden="0"/>
    </dxf>
    <dxf>
      <font>
        <b val="0"/>
        <i val="0"/>
        <strike val="0"/>
        <condense val="0"/>
        <extend val="0"/>
        <outline val="0"/>
        <shadow val="0"/>
        <u val="none"/>
        <vertAlign val="baseline"/>
        <sz val="11"/>
        <color theme="1"/>
        <name val="Calibri"/>
        <scheme val="minor"/>
      </font>
      <numFmt numFmtId="164" formatCode="_-* #,##0_-;\-* #,##0_-;_-* &quot;-&quot;??_-;_-@_-"/>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color theme="1"/>
        <name val="Calibri"/>
        <scheme val="minor"/>
      </font>
    </dxf>
    <dxf>
      <border diagonalUp="0" diagonalDown="0">
        <left style="thin">
          <color indexed="64"/>
        </left>
        <right style="thin">
          <color indexed="64"/>
        </right>
        <top style="thin">
          <color indexed="64"/>
        </top>
        <bottom style="thin">
          <color indexed="64"/>
        </bottom>
      </border>
    </dxf>
    <dxf>
      <font>
        <strike val="0"/>
        <outline val="0"/>
        <shadow val="0"/>
        <u val="none"/>
        <vertAlign val="baseline"/>
        <color theme="1"/>
        <name val="Calibri"/>
        <scheme val="minor"/>
      </font>
    </dxf>
    <dxf>
      <font>
        <b/>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s>
  <tableStyles count="0" defaultTableStyle="TableStyleMedium2" defaultPivotStyle="PivotStyleLight16"/>
  <colors>
    <mruColors>
      <color rgb="FF251B5B"/>
      <color rgb="FF201751"/>
      <color rgb="FFE6007E"/>
      <color rgb="FF756A93"/>
      <color rgb="FFB4A9D4"/>
      <color rgb="FFE7B8D2"/>
      <color rgb="FFCC99FF"/>
      <color rgb="FF990000"/>
      <color rgb="FFFF69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150812</xdr:colOff>
      <xdr:row>1</xdr:row>
      <xdr:rowOff>111126</xdr:rowOff>
    </xdr:from>
    <xdr:to>
      <xdr:col>16</xdr:col>
      <xdr:colOff>416046</xdr:colOff>
      <xdr:row>34</xdr:row>
      <xdr:rowOff>7937</xdr:rowOff>
    </xdr:to>
    <xdr:pic>
      <xdr:nvPicPr>
        <xdr:cNvPr id="5" name="Picture 4"/>
        <xdr:cNvPicPr>
          <a:picLocks noChangeAspect="1"/>
        </xdr:cNvPicPr>
      </xdr:nvPicPr>
      <xdr:blipFill>
        <a:blip xmlns:r="http://schemas.openxmlformats.org/officeDocument/2006/relationships" r:embed="rId1"/>
        <a:stretch>
          <a:fillRect/>
        </a:stretch>
      </xdr:blipFill>
      <xdr:spPr>
        <a:xfrm>
          <a:off x="150812" y="563564"/>
          <a:ext cx="10044234" cy="5921374"/>
        </a:xfrm>
        <a:prstGeom prst="rect">
          <a:avLst/>
        </a:prstGeom>
      </xdr:spPr>
    </xdr:pic>
    <xdr:clientData/>
  </xdr:twoCellAnchor>
</xdr:wsDr>
</file>

<file path=xl/tables/table1.xml><?xml version="1.0" encoding="utf-8"?>
<table xmlns="http://schemas.openxmlformats.org/spreadsheetml/2006/main" id="3" name="Table3" displayName="Table3" ref="A4:J30" totalsRowShown="0" headerRowDxfId="109" dataDxfId="108" tableBorderDxfId="107">
  <autoFilter ref="A4:J3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nth_x000a_ [note 1][note 2]_x000a_[note 3][note 4]" dataDxfId="106"/>
    <tableColumn id="2" name="Total applications received _x000a_" dataDxfId="105" dataCellStyle="Comma"/>
    <tableColumn id="3" name="Percentage of total applications received " dataDxfId="104"/>
    <tableColumn id="4" name="Total applications processed  _x000a_[note 5]" dataDxfId="103" dataCellStyle="Comma"/>
    <tableColumn id="5" name="Authorised applications" dataDxfId="102" dataCellStyle="Comma"/>
    <tableColumn id="6" name="Denied Applications " dataDxfId="101" dataCellStyle="Comma"/>
    <tableColumn id="7" name="Withdrawn applications " dataDxfId="100" dataCellStyle="Comma"/>
    <tableColumn id="8" name="Percentage of processed applications authorised" dataDxfId="99"/>
    <tableColumn id="9" name="Percentage of processed applications denied" dataDxfId="98"/>
    <tableColumn id="10" name="Percentage of processed applications withdrawn " dataDxfId="97"/>
  </tableColumns>
  <tableStyleInfo name="TableStyleLight1" showFirstColumn="0" showLastColumn="0" showRowStripes="1" showColumnStripes="0"/>
</table>
</file>

<file path=xl/tables/table10.xml><?xml version="1.0" encoding="utf-8"?>
<table xmlns="http://schemas.openxmlformats.org/spreadsheetml/2006/main" id="12" name="Table12" displayName="Table12" ref="A4:I27" totalsRowShown="0" headerRowDxfId="11" dataDxfId="10" tableBorderDxfId="9">
  <autoFilter ref="A4:I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name="Month [note 1]" dataDxfId="8"/>
    <tableColumn id="2" name="Number of _x000a_re-determinations _x000a_received _x000a_[note 2]" dataDxfId="7"/>
    <tableColumn id="3" name="Re-determinations as a percentage of decisions processed _x000a_" dataDxfId="6"/>
    <tableColumn id="5" name="Re-determinations completed _x000a_[note 3]" dataDxfId="5"/>
    <tableColumn id="6" name="Completed _x000a_re-determinations _x000a_which are disallowed _x000a_[note 3]" dataDxfId="4"/>
    <tableColumn id="7" name="Completed _x000a_re-determinations _x000a_which are allowed or partially allowed _x000a_[note 3]" dataDxfId="3"/>
    <tableColumn id="8" name="Completed _x000a_re-determinations _x000a_which are withdrawn _x000a_[note 3]" dataDxfId="2"/>
    <tableColumn id="10" name="Median response time in working days _x000a_[note 4][note 5]" dataDxfId="1"/>
    <tableColumn id="11" name="Re-determinations closed within 16 working days [note 4]" dataDxfId="0" dataCellStyle="Percent"/>
  </tableColumns>
  <tableStyleInfo name="TableStyleLight1" showFirstColumn="0" showLastColumn="0" showRowStripes="1" showColumnStripes="0"/>
</table>
</file>

<file path=xl/tables/table2.xml><?xml version="1.0" encoding="utf-8"?>
<table xmlns="http://schemas.openxmlformats.org/spreadsheetml/2006/main" id="5" name="Table5" displayName="Table5" ref="A4:H27" totalsRowShown="0" headerRowDxfId="96" dataDxfId="94" headerRowBorderDxfId="95" tableBorderDxfId="93">
  <autoFilter ref="A4:H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3" name="Applications Received by month _x000a_[note 1]" dataDxfId="92"/>
    <tableColumn id="4" name="Total" dataDxfId="91" dataCellStyle="Comma"/>
    <tableColumn id="5" name="Online Applications " dataDxfId="90" dataCellStyle="Comma"/>
    <tableColumn id="6" name="Paper Applications _x000a_" dataDxfId="89" dataCellStyle="Comma"/>
    <tableColumn id="7" name="Phone Applications _x000a_[note 2]" dataDxfId="88" dataCellStyle="Comma"/>
    <tableColumn id="8" name="Percentage of Online Applications " dataDxfId="87"/>
    <tableColumn id="9" name="Percentage of Paper Applications" dataDxfId="86"/>
    <tableColumn id="10" name="Percentage of Phone Applications" dataDxfId="85"/>
  </tableColumns>
  <tableStyleInfo name="TableStyleLight1" showFirstColumn="0" showLastColumn="0" showRowStripes="1" showColumnStripes="0"/>
</table>
</file>

<file path=xl/tables/table3.xml><?xml version="1.0" encoding="utf-8"?>
<table xmlns="http://schemas.openxmlformats.org/spreadsheetml/2006/main" id="1" name="Table1" displayName="Table1" ref="A6:J11" totalsRowShown="0" headerRowDxfId="84" dataDxfId="82" headerRowBorderDxfId="83" tableBorderDxfId="81" totalsRowBorderDxfId="80">
  <autoFilter ref="A6:J1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ge of applicant _x000a_[note 1]" dataDxfId="79"/>
    <tableColumn id="2" name="Total applications received" dataDxfId="78" dataCellStyle="Comma">
      <calculatedColumnFormula>VLOOKUP($A7, 'Table 3 Full data'!$A$2:$J$21, 2, FALSE)</calculatedColumnFormula>
    </tableColumn>
    <tableColumn id="3" name="Percentage of total applications received" dataDxfId="77">
      <calculatedColumnFormula>VLOOKUP($A7, 'Table 3 Full data'!$A$2:$J$21, 3, FALSE)</calculatedColumnFormula>
    </tableColumn>
    <tableColumn id="4" name="Total applications processed _x000a_[note 2]" dataDxfId="76" dataCellStyle="Comma">
      <calculatedColumnFormula>VLOOKUP($A7, 'Table 3 Full data'!$A$2:$J$21, 4, FALSE)</calculatedColumnFormula>
    </tableColumn>
    <tableColumn id="5" name="Authorised applications" dataDxfId="75" dataCellStyle="Comma">
      <calculatedColumnFormula>VLOOKUP($A7, 'Table 3 Full data'!$A$2:$J$21, 5, FALSE)</calculatedColumnFormula>
    </tableColumn>
    <tableColumn id="6" name="Denied Applications " dataDxfId="74" dataCellStyle="Comma">
      <calculatedColumnFormula>VLOOKUP($A7, 'Table 3 Full data'!$A$2:$J$21, 6, FALSE)</calculatedColumnFormula>
    </tableColumn>
    <tableColumn id="7" name="Withdrawn applications " dataDxfId="73" dataCellStyle="Comma">
      <calculatedColumnFormula>VLOOKUP($A7, 'Table 3 Full data'!$A$2:$J$21, 7, FALSE)</calculatedColumnFormula>
    </tableColumn>
    <tableColumn id="8" name="Percentage of processed applications authorised" dataDxfId="72">
      <calculatedColumnFormula>VLOOKUP($A7, 'Table 3 Full data'!$A$2:$J$21, 8, FALSE)</calculatedColumnFormula>
    </tableColumn>
    <tableColumn id="9" name="Percentage of processed applications denied" dataDxfId="71">
      <calculatedColumnFormula>VLOOKUP($A7, 'Table 3 Full data'!$A$2:$J$21, 9, FALSE)</calculatedColumnFormula>
    </tableColumn>
    <tableColumn id="10" name="Percentage of processed applications withdrawn " dataDxfId="70">
      <calculatedColumnFormula>VLOOKUP($A7, 'Table 3 Full data'!$A$2:$J$21, 10, FALSE)</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2" name="Table2" displayName="Table2" ref="A6:F42" totalsRowShown="0" headerRowDxfId="69" dataDxfId="68" tableBorderDxfId="67" dataCellStyle="Comma">
  <autoFilter ref="A6:F42">
    <filterColumn colId="0" hiddenButton="1"/>
    <filterColumn colId="1" hiddenButton="1"/>
    <filterColumn colId="2" hiddenButton="1"/>
    <filterColumn colId="3" hiddenButton="1"/>
    <filterColumn colId="4" hiddenButton="1"/>
    <filterColumn colId="5" hiddenButton="1"/>
  </autoFilter>
  <tableColumns count="6">
    <tableColumn id="1" name="Local Authority _x000a_[note 1][note 2][note 3]" dataDxfId="66"/>
    <tableColumn id="2" name="Total applications received _x000a_" dataDxfId="65" dataCellStyle="Comma">
      <calculatedColumnFormula>VLOOKUP($A7, 'Table 4 Full data'!$A$2:$F$145, 2, FALSE)</calculatedColumnFormula>
    </tableColumn>
    <tableColumn id="3" name="Percentage of total applications received " dataDxfId="64" dataCellStyle="Percent">
      <calculatedColumnFormula>VLOOKUP($A7, 'Table 4 Full data'!$A$2:$F$145, 3, FALSE)</calculatedColumnFormula>
    </tableColumn>
    <tableColumn id="4" name="Total applications processed  [note 4]" dataDxfId="63" dataCellStyle="Comma">
      <calculatedColumnFormula>VLOOKUP($A7, 'Table 4 Full data'!$A$2:$F$145, 4, FALSE)</calculatedColumnFormula>
    </tableColumn>
    <tableColumn id="5" name="Authorised applications" dataDxfId="62" dataCellStyle="Comma">
      <calculatedColumnFormula>VLOOKUP($A7, 'Table 4 Full data'!$A$2:$F$145, 5, FALSE)</calculatedColumnFormula>
    </tableColumn>
    <tableColumn id="6" name="Percentage of processed applications authorised" dataDxfId="61" dataCellStyle="Percent">
      <calculatedColumnFormula>VLOOKUP($A7, 'Table 4 Full data'!$A$2:$F$145, 6, FALSE)</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4" name="Table4" displayName="Table4" ref="A4:J9" totalsRowShown="0" headerRowDxfId="60" dataDxfId="58" headerRowBorderDxfId="59" tableBorderDxfId="57" totalsRowBorderDxfId="56" dataCellStyle="Comma">
  <autoFilter ref="A4:J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Number of cared for people [note 1]" dataDxfId="55"/>
    <tableColumn id="2" name="Total applications received _x000a_" dataDxfId="54" dataCellStyle="Comma"/>
    <tableColumn id="3" name="Percentage of total applications received " dataDxfId="53" dataCellStyle="Percent"/>
    <tableColumn id="4" name="Total applications processed  _x000a_[note 2]" dataDxfId="52" dataCellStyle="Comma"/>
    <tableColumn id="5" name="Authorised applications" dataDxfId="51" dataCellStyle="Comma"/>
    <tableColumn id="7" name="Denied applications" dataDxfId="50" dataCellStyle="Comma"/>
    <tableColumn id="8" name="Withdrawn applications" dataDxfId="49" dataCellStyle="Comma"/>
    <tableColumn id="6" name="Percentage of processed applications authorised" dataDxfId="48" dataCellStyle="Percent"/>
    <tableColumn id="9" name="Percentage of processed applications denied" dataDxfId="47" dataCellStyle="Comma"/>
    <tableColumn id="10" name="Percentage of processed applications withdrawn" dataDxfId="46" dataCellStyle="Comma"/>
  </tableColumns>
  <tableStyleInfo name="TableStyleLight1" showFirstColumn="0" showLastColumn="0" showRowStripes="1" showColumnStripes="0"/>
</table>
</file>

<file path=xl/tables/table6.xml><?xml version="1.0" encoding="utf-8"?>
<table xmlns="http://schemas.openxmlformats.org/spreadsheetml/2006/main" id="6" name="Table6" displayName="Table6" ref="A4:M28" totalsRowShown="0" headerRowDxfId="45" dataDxfId="44" tableBorderDxfId="43" dataCellStyle="Comma">
  <autoFilter ref="A4:M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name="Processing Time by Month _x000a_[note 1][note 2][note 3]" dataDxfId="42"/>
    <tableColumn id="2" name="Total applications excluding _x000a_re-determinations_x000a_" dataDxfId="41" dataCellStyle="Comma"/>
    <tableColumn id="3" name="Applications processed in the same day" dataDxfId="40" dataCellStyle="Comma"/>
    <tableColumn id="4" name="Applications processed in _x000a_1-5 days" dataDxfId="39" dataCellStyle="Comma"/>
    <tableColumn id="5" name="Applications processed in _x000a_6-10 days" dataDxfId="38" dataCellStyle="Comma"/>
    <tableColumn id="6" name="Applications processed in _x000a_11-15 days" dataDxfId="37" dataCellStyle="Comma"/>
    <tableColumn id="7" name="Applications processed in _x000a_16-20 days" dataDxfId="36" dataCellStyle="Comma"/>
    <tableColumn id="8" name="Applications processed in _x000a_21 or more days" dataDxfId="35" dataCellStyle="Comma"/>
    <tableColumn id="9" name="Applications processed within 10 days _x000a_[note 4]" dataDxfId="34" dataCellStyle="Comma"/>
    <tableColumn id="10" name="Applications processed within 15 days _x000a_[note 4]" dataDxfId="33" dataCellStyle="Comma"/>
    <tableColumn id="11" name="Applications processed in _x000a_16 days or more _x000a_[note 4]" dataDxfId="32" dataCellStyle="Comma"/>
    <tableColumn id="12" name="Percentage of applications processed within 10 days _x000a_[note 4]" dataDxfId="31" dataCellStyle="Comma"/>
    <tableColumn id="13" name="Median Average Processing Time _x000a_[note 5]" dataDxfId="30" dataCellStyle="Comma"/>
  </tableColumns>
  <tableStyleInfo name="TableStyleLight1" showFirstColumn="0" showLastColumn="0" showRowStripes="1" showColumnStripes="0"/>
</table>
</file>

<file path=xl/tables/table7.xml><?xml version="1.0" encoding="utf-8"?>
<table xmlns="http://schemas.openxmlformats.org/spreadsheetml/2006/main" id="7" name="Table7" displayName="Table7" ref="A6:C42" totalsRowShown="0" headerRowDxfId="29" dataDxfId="28">
  <autoFilter ref="A6:C42">
    <filterColumn colId="0" hiddenButton="1"/>
    <filterColumn colId="1" hiddenButton="1"/>
    <filterColumn colId="2" hiddenButton="1"/>
  </autoFilter>
  <tableColumns count="3">
    <tableColumn id="1" name="Local Authority _x000a_[note 1][note 2][note 3]" dataDxfId="27"/>
    <tableColumn id="2" name="Value of payments _x000a_[note 4][note 5]_x000a_[note 6][note 7]" dataDxfId="26">
      <calculatedColumnFormula>VLOOKUP($A7, 'Table 7 Full data'!$A$1:$C$155, 2, FALSE)</calculatedColumnFormula>
    </tableColumn>
    <tableColumn id="3" name="Percentage of total payment" dataDxfId="25" dataCellStyle="Percent">
      <calculatedColumnFormula>VLOOKUP($A7, 'Table 7 Full data'!$A$1:$C$155, 3, FALSE)</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8" name="Table8" displayName="Table8" ref="A4:B29" totalsRowShown="0" headerRowDxfId="24" dataDxfId="23" tableBorderDxfId="22">
  <autoFilter ref="A4:B29">
    <filterColumn colId="0" hiddenButton="1"/>
    <filterColumn colId="1" hiddenButton="1"/>
  </autoFilter>
  <tableColumns count="2">
    <tableColumn id="1" name="Month of payment issue_x000a_[note 1][note 2][note 3]" dataDxfId="21" dataCellStyle="Comma"/>
    <tableColumn id="2" name="Value of payments _x000a_[note 4][note 5][note 6]" dataDxfId="20" dataCellStyle="Comma"/>
  </tableColumns>
  <tableStyleInfo name="TableStyleLight1" showFirstColumn="0" showLastColumn="0" showRowStripes="1" showColumnStripes="0"/>
</table>
</file>

<file path=xl/tables/table9.xml><?xml version="1.0" encoding="utf-8"?>
<table xmlns="http://schemas.openxmlformats.org/spreadsheetml/2006/main" id="9" name="Table9" displayName="Table9" ref="A4:D5" totalsRowShown="0" headerRowDxfId="19" headerRowBorderDxfId="18" tableBorderDxfId="17" totalsRowBorderDxfId="16">
  <autoFilter ref="A4:D5">
    <filterColumn colId="0" hiddenButton="1"/>
    <filterColumn colId="1" hiddenButton="1"/>
    <filterColumn colId="2" hiddenButton="1"/>
    <filterColumn colId="3" hiddenButton="1"/>
  </autoFilter>
  <tableColumns count="4">
    <tableColumn id="1" name="Total number of payments issued _x000a_[note 1][note 2][note 3]" dataDxfId="15"/>
    <tableColumn id="2" name="Total number of clients who have received payment _x000a_[note 4]" dataDxfId="14"/>
    <tableColumn id="3" name="Number of clients who have received 1 payment" dataDxfId="13"/>
    <tableColumn id="4" name="Number of clients who have received 2 payments _x000a_[note 4]" dataDxfId="12"/>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7"/>
  <sheetViews>
    <sheetView tabSelected="1" workbookViewId="0"/>
  </sheetViews>
  <sheetFormatPr defaultRowHeight="14.5" x14ac:dyDescent="0.35"/>
  <cols>
    <col min="1" max="1" width="14.7265625" customWidth="1"/>
  </cols>
  <sheetData>
    <row r="1" spans="1:2" ht="15.5" x14ac:dyDescent="0.35">
      <c r="A1" s="228" t="s">
        <v>42</v>
      </c>
    </row>
    <row r="2" spans="1:2" x14ac:dyDescent="0.35">
      <c r="A2" s="1" t="s">
        <v>0</v>
      </c>
      <c r="B2" s="222"/>
    </row>
    <row r="3" spans="1:2" ht="15.65" customHeight="1" x14ac:dyDescent="0.35">
      <c r="A3" s="2" t="s">
        <v>1</v>
      </c>
      <c r="B3" t="s">
        <v>18</v>
      </c>
    </row>
    <row r="4" spans="1:2" x14ac:dyDescent="0.35">
      <c r="A4" s="2" t="s">
        <v>2</v>
      </c>
      <c r="B4" t="s">
        <v>20</v>
      </c>
    </row>
    <row r="5" spans="1:2" x14ac:dyDescent="0.35">
      <c r="A5" s="2" t="s">
        <v>3</v>
      </c>
      <c r="B5" t="s">
        <v>31</v>
      </c>
    </row>
    <row r="6" spans="1:2" x14ac:dyDescent="0.35">
      <c r="A6" s="2" t="s">
        <v>4</v>
      </c>
      <c r="B6" t="s">
        <v>21</v>
      </c>
    </row>
    <row r="7" spans="1:2" x14ac:dyDescent="0.35">
      <c r="A7" s="2" t="s">
        <v>5</v>
      </c>
      <c r="B7" t="s">
        <v>24</v>
      </c>
    </row>
    <row r="8" spans="1:2" x14ac:dyDescent="0.35">
      <c r="A8" s="2" t="s">
        <v>6</v>
      </c>
      <c r="B8" t="s">
        <v>26</v>
      </c>
    </row>
    <row r="9" spans="1:2" x14ac:dyDescent="0.35">
      <c r="A9" s="2" t="s">
        <v>12</v>
      </c>
      <c r="B9" s="4" t="s">
        <v>39</v>
      </c>
    </row>
    <row r="10" spans="1:2" x14ac:dyDescent="0.35">
      <c r="A10" s="2" t="s">
        <v>11</v>
      </c>
      <c r="B10" t="s">
        <v>27</v>
      </c>
    </row>
    <row r="11" spans="1:2" x14ac:dyDescent="0.35">
      <c r="A11" s="2" t="s">
        <v>10</v>
      </c>
      <c r="B11" t="s">
        <v>41</v>
      </c>
    </row>
    <row r="12" spans="1:2" x14ac:dyDescent="0.35">
      <c r="A12" s="2" t="s">
        <v>38</v>
      </c>
      <c r="B12" t="s">
        <v>36</v>
      </c>
    </row>
    <row r="13" spans="1:2" x14ac:dyDescent="0.35">
      <c r="A13" s="2" t="s">
        <v>28</v>
      </c>
      <c r="B13" t="s">
        <v>32</v>
      </c>
    </row>
    <row r="14" spans="1:2" x14ac:dyDescent="0.35">
      <c r="A14" s="204" t="s">
        <v>358</v>
      </c>
      <c r="B14" t="s">
        <v>361</v>
      </c>
    </row>
    <row r="15" spans="1:2" x14ac:dyDescent="0.35">
      <c r="A15" s="204" t="s">
        <v>359</v>
      </c>
      <c r="B15" t="s">
        <v>362</v>
      </c>
    </row>
    <row r="16" spans="1:2" x14ac:dyDescent="0.35">
      <c r="A16" s="2" t="s">
        <v>360</v>
      </c>
      <c r="B16" t="s">
        <v>363</v>
      </c>
    </row>
    <row r="17" spans="1:1" x14ac:dyDescent="0.35">
      <c r="A17" s="2"/>
    </row>
  </sheetData>
  <hyperlinks>
    <hyperlink ref="A7" location="'Table 5 Cared for People'!A1" display="Table 5"/>
    <hyperlink ref="A6" location="'Table 4 Applications by LA'!A1" display="Table 4"/>
    <hyperlink ref="A12" location="'Table 10 Re-determinations'!A1" display="Table 10"/>
    <hyperlink ref="A5" location="'Table 3 Applications by age'!A1" display="Table 3"/>
    <hyperlink ref="A8" location="'Table 6 Processing Times'!A1" display="Table 6"/>
    <hyperlink ref="A9" location="'Table 7 Payments by LA'!A1" display="Table 7"/>
    <hyperlink ref="A10" location="'Table 8 Payments by month'!A1" display="Table 8"/>
    <hyperlink ref="A4" location="'Table 2 Applications by channel'!A1" display="Table 2"/>
    <hyperlink ref="A13" location="'Chart 1'!A1" display="Chart 1"/>
    <hyperlink ref="A3" location="'Table 1 Applications by month'!A1" display="Table 1"/>
    <hyperlink ref="A11" location="'Table 9 Clients by payments'!A1" display="Table 9"/>
    <hyperlink ref="A14" location="'Table 3 Full data'!A1" display="Table 3 Full data"/>
    <hyperlink ref="A15" location="'Table 4 Full data'!A1" display="Table 4 Full data"/>
    <hyperlink ref="A16" location="'Table 7 Full data'!A1" display="Table 7 Full dat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
  <sheetViews>
    <sheetView zoomScale="75" zoomScaleNormal="75" workbookViewId="0"/>
  </sheetViews>
  <sheetFormatPr defaultRowHeight="14.5" x14ac:dyDescent="0.35"/>
  <cols>
    <col min="1" max="1" width="27.08984375" customWidth="1"/>
    <col min="2" max="2" width="22.7265625" customWidth="1"/>
    <col min="3" max="3" width="21.08984375" customWidth="1"/>
    <col min="4" max="4" width="18.6328125" customWidth="1"/>
    <col min="5" max="5" width="18.90625" customWidth="1"/>
    <col min="6" max="6" width="14.54296875" customWidth="1"/>
  </cols>
  <sheetData>
    <row r="1" spans="1:22" ht="21" x14ac:dyDescent="0.5">
      <c r="A1" s="38" t="s">
        <v>40</v>
      </c>
    </row>
    <row r="2" spans="1:22" ht="15.5" x14ac:dyDescent="0.35">
      <c r="A2" s="44" t="s">
        <v>142</v>
      </c>
    </row>
    <row r="3" spans="1:22" ht="15.5" x14ac:dyDescent="0.35">
      <c r="A3" s="40" t="s">
        <v>371</v>
      </c>
    </row>
    <row r="4" spans="1:22" ht="59.5" customHeight="1" x14ac:dyDescent="0.35">
      <c r="A4" s="149" t="s">
        <v>143</v>
      </c>
      <c r="B4" s="150" t="s">
        <v>179</v>
      </c>
      <c r="C4" s="78" t="s">
        <v>37</v>
      </c>
      <c r="D4" s="18" t="s">
        <v>180</v>
      </c>
    </row>
    <row r="5" spans="1:22" x14ac:dyDescent="0.35">
      <c r="A5" s="151">
        <v>4130</v>
      </c>
      <c r="B5" s="152">
        <v>3260</v>
      </c>
      <c r="C5" s="153">
        <v>2390</v>
      </c>
      <c r="D5" s="154">
        <v>870</v>
      </c>
    </row>
    <row r="6" spans="1:22" x14ac:dyDescent="0.35">
      <c r="A6" s="8" t="s">
        <v>9</v>
      </c>
      <c r="B6" s="8"/>
      <c r="C6" s="8"/>
      <c r="D6" s="8"/>
      <c r="E6" s="8"/>
      <c r="F6" s="8"/>
      <c r="G6" s="8"/>
      <c r="H6" s="8"/>
      <c r="I6" s="8"/>
      <c r="J6" s="8"/>
      <c r="K6" s="8"/>
      <c r="L6" s="8"/>
      <c r="M6" s="8"/>
      <c r="N6" s="8"/>
      <c r="O6" s="8"/>
      <c r="P6" s="8"/>
      <c r="Q6" s="8"/>
      <c r="R6" s="8"/>
      <c r="S6" s="8"/>
      <c r="T6" s="8"/>
      <c r="U6" s="8"/>
      <c r="V6" s="8"/>
    </row>
    <row r="7" spans="1:22" x14ac:dyDescent="0.35">
      <c r="A7" s="8" t="s">
        <v>144</v>
      </c>
      <c r="B7" s="8"/>
      <c r="C7" s="8"/>
      <c r="D7" s="8"/>
      <c r="E7" s="8"/>
      <c r="F7" s="8"/>
      <c r="G7" s="8"/>
    </row>
    <row r="8" spans="1:22" x14ac:dyDescent="0.35">
      <c r="A8" s="8" t="s">
        <v>178</v>
      </c>
      <c r="B8" s="8"/>
      <c r="C8" s="8"/>
      <c r="D8" s="8"/>
      <c r="E8" s="8"/>
      <c r="F8" s="8"/>
      <c r="G8" s="8"/>
    </row>
    <row r="9" spans="1:22" ht="14.5" customHeight="1" x14ac:dyDescent="0.35">
      <c r="A9" s="8" t="s">
        <v>177</v>
      </c>
      <c r="B9" s="8"/>
      <c r="C9" s="8"/>
      <c r="D9" s="8"/>
      <c r="E9" s="8"/>
      <c r="F9" s="8"/>
      <c r="G9" s="8"/>
    </row>
    <row r="10" spans="1:22" x14ac:dyDescent="0.35">
      <c r="A10" t="s">
        <v>145</v>
      </c>
    </row>
  </sheetData>
  <pageMargins left="0.7" right="0.7" top="0.75" bottom="0.75" header="0.3" footer="0.3"/>
  <pageSetup paperSize="9" orientation="portrait" horizontalDpi="90" verticalDpi="9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75" zoomScaleNormal="75" workbookViewId="0"/>
  </sheetViews>
  <sheetFormatPr defaultRowHeight="14.5" x14ac:dyDescent="0.35"/>
  <cols>
    <col min="1" max="1" width="28.26953125" customWidth="1"/>
    <col min="2" max="2" width="17.54296875" customWidth="1"/>
    <col min="3" max="3" width="20.26953125" customWidth="1"/>
    <col min="4" max="4" width="19.26953125" customWidth="1"/>
    <col min="5" max="5" width="18.81640625" customWidth="1"/>
    <col min="6" max="6" width="20.26953125" customWidth="1"/>
    <col min="7" max="7" width="18.81640625" customWidth="1"/>
    <col min="8" max="8" width="17.36328125" customWidth="1"/>
    <col min="9" max="9" width="17.1796875" customWidth="1"/>
  </cols>
  <sheetData>
    <row r="1" spans="1:9" ht="21" x14ac:dyDescent="0.5">
      <c r="A1" s="60" t="s">
        <v>154</v>
      </c>
    </row>
    <row r="2" spans="1:9" ht="15.5" x14ac:dyDescent="0.35">
      <c r="A2" s="44" t="s">
        <v>153</v>
      </c>
    </row>
    <row r="3" spans="1:9" ht="15.5" x14ac:dyDescent="0.35">
      <c r="A3" s="40" t="s">
        <v>83</v>
      </c>
    </row>
    <row r="4" spans="1:9" ht="77.5" x14ac:dyDescent="0.35">
      <c r="A4" s="25" t="s">
        <v>146</v>
      </c>
      <c r="B4" s="22" t="s">
        <v>147</v>
      </c>
      <c r="C4" s="22" t="s">
        <v>148</v>
      </c>
      <c r="D4" s="22" t="s">
        <v>149</v>
      </c>
      <c r="E4" s="22" t="s">
        <v>150</v>
      </c>
      <c r="F4" s="22" t="s">
        <v>151</v>
      </c>
      <c r="G4" s="22" t="s">
        <v>152</v>
      </c>
      <c r="H4" s="69" t="s">
        <v>157</v>
      </c>
      <c r="I4" s="126" t="s">
        <v>372</v>
      </c>
    </row>
    <row r="5" spans="1:9" ht="15.5" x14ac:dyDescent="0.35">
      <c r="A5" s="146" t="s">
        <v>7</v>
      </c>
      <c r="B5" s="147">
        <v>105</v>
      </c>
      <c r="C5" s="156">
        <v>1.7000000000000001E-2</v>
      </c>
      <c r="D5" s="147">
        <v>100</v>
      </c>
      <c r="E5" s="148">
        <v>30</v>
      </c>
      <c r="F5" s="147">
        <v>55</v>
      </c>
      <c r="G5" s="148">
        <v>20</v>
      </c>
      <c r="H5" s="147" t="s">
        <v>34</v>
      </c>
      <c r="I5" s="93">
        <v>0.89</v>
      </c>
    </row>
    <row r="6" spans="1:9" ht="15.5" x14ac:dyDescent="0.35">
      <c r="A6" s="127" t="s">
        <v>45</v>
      </c>
      <c r="B6" s="128">
        <v>0</v>
      </c>
      <c r="C6" s="157" t="s">
        <v>169</v>
      </c>
      <c r="D6" s="128">
        <v>0</v>
      </c>
      <c r="E6" s="129">
        <v>0</v>
      </c>
      <c r="F6" s="128">
        <v>0</v>
      </c>
      <c r="G6" s="129">
        <v>0</v>
      </c>
      <c r="H6" s="130" t="s">
        <v>169</v>
      </c>
      <c r="I6" s="73" t="s">
        <v>169</v>
      </c>
    </row>
    <row r="7" spans="1:9" ht="15" customHeight="1" x14ac:dyDescent="0.35">
      <c r="A7" s="127" t="s">
        <v>46</v>
      </c>
      <c r="B7" s="128" t="s">
        <v>164</v>
      </c>
      <c r="C7" s="158" t="s">
        <v>164</v>
      </c>
      <c r="D7" s="128" t="s">
        <v>164</v>
      </c>
      <c r="E7" s="129" t="s">
        <v>164</v>
      </c>
      <c r="F7" s="128" t="s">
        <v>164</v>
      </c>
      <c r="G7" s="129" t="s">
        <v>164</v>
      </c>
      <c r="H7" s="131" t="s">
        <v>164</v>
      </c>
      <c r="I7" s="50" t="s">
        <v>164</v>
      </c>
    </row>
    <row r="8" spans="1:9" ht="15" customHeight="1" thickBot="1" x14ac:dyDescent="0.4">
      <c r="A8" s="127" t="s">
        <v>47</v>
      </c>
      <c r="B8" s="128" t="s">
        <v>164</v>
      </c>
      <c r="C8" s="157" t="s">
        <v>164</v>
      </c>
      <c r="D8" s="132">
        <v>5</v>
      </c>
      <c r="E8" s="129">
        <v>0</v>
      </c>
      <c r="F8" s="128" t="s">
        <v>164</v>
      </c>
      <c r="G8" s="129" t="s">
        <v>164</v>
      </c>
      <c r="H8" s="159">
        <v>16</v>
      </c>
      <c r="I8" s="73">
        <v>1</v>
      </c>
    </row>
    <row r="9" spans="1:9" ht="15.5" x14ac:dyDescent="0.35">
      <c r="A9" s="127" t="s">
        <v>48</v>
      </c>
      <c r="B9" s="128">
        <v>5</v>
      </c>
      <c r="C9" s="158">
        <v>0.01</v>
      </c>
      <c r="D9" s="128" t="s">
        <v>164</v>
      </c>
      <c r="E9" s="129" t="s">
        <v>164</v>
      </c>
      <c r="F9" s="128" t="s">
        <v>164</v>
      </c>
      <c r="G9" s="129" t="s">
        <v>164</v>
      </c>
      <c r="H9" s="131" t="s">
        <v>164</v>
      </c>
      <c r="I9" s="50" t="s">
        <v>164</v>
      </c>
    </row>
    <row r="10" spans="1:9" ht="15.5" x14ac:dyDescent="0.35">
      <c r="A10" s="127" t="s">
        <v>49</v>
      </c>
      <c r="B10" s="128" t="s">
        <v>164</v>
      </c>
      <c r="C10" s="157" t="s">
        <v>164</v>
      </c>
      <c r="D10" s="132">
        <v>5</v>
      </c>
      <c r="E10" s="129" t="s">
        <v>164</v>
      </c>
      <c r="F10" s="133">
        <v>0</v>
      </c>
      <c r="G10" s="129" t="s">
        <v>164</v>
      </c>
      <c r="H10" s="128">
        <v>15</v>
      </c>
      <c r="I10" s="73">
        <v>1</v>
      </c>
    </row>
    <row r="11" spans="1:9" ht="15.5" x14ac:dyDescent="0.35">
      <c r="A11" s="127" t="s">
        <v>50</v>
      </c>
      <c r="B11" s="128">
        <v>5</v>
      </c>
      <c r="C11" s="158">
        <v>1.4E-2</v>
      </c>
      <c r="D11" s="128">
        <v>5</v>
      </c>
      <c r="E11" s="129" t="s">
        <v>164</v>
      </c>
      <c r="F11" s="128">
        <v>0</v>
      </c>
      <c r="G11" s="129" t="s">
        <v>164</v>
      </c>
      <c r="H11" s="132">
        <v>13</v>
      </c>
      <c r="I11" s="50">
        <v>1</v>
      </c>
    </row>
    <row r="12" spans="1:9" ht="15.5" x14ac:dyDescent="0.35">
      <c r="A12" s="134" t="s">
        <v>51</v>
      </c>
      <c r="B12" s="132">
        <v>5</v>
      </c>
      <c r="C12" s="157">
        <v>2.7E-2</v>
      </c>
      <c r="D12" s="132">
        <v>5</v>
      </c>
      <c r="E12" s="129" t="s">
        <v>164</v>
      </c>
      <c r="F12" s="128" t="s">
        <v>164</v>
      </c>
      <c r="G12" s="129" t="s">
        <v>164</v>
      </c>
      <c r="H12" s="128">
        <v>5</v>
      </c>
      <c r="I12" s="73">
        <v>1</v>
      </c>
    </row>
    <row r="13" spans="1:9" ht="15.5" x14ac:dyDescent="0.35">
      <c r="A13" s="127" t="s">
        <v>52</v>
      </c>
      <c r="B13" s="128">
        <v>5</v>
      </c>
      <c r="C13" s="158">
        <v>2.9000000000000001E-2</v>
      </c>
      <c r="D13" s="128">
        <v>5</v>
      </c>
      <c r="E13" s="129">
        <v>0</v>
      </c>
      <c r="F13" s="128" t="s">
        <v>164</v>
      </c>
      <c r="G13" s="129" t="s">
        <v>164</v>
      </c>
      <c r="H13" s="132">
        <v>7</v>
      </c>
      <c r="I13" s="50">
        <v>1</v>
      </c>
    </row>
    <row r="14" spans="1:9" ht="15.5" x14ac:dyDescent="0.35">
      <c r="A14" s="134" t="s">
        <v>53</v>
      </c>
      <c r="B14" s="132">
        <v>5</v>
      </c>
      <c r="C14" s="157">
        <v>2.3E-2</v>
      </c>
      <c r="D14" s="132">
        <v>5</v>
      </c>
      <c r="E14" s="135">
        <v>5</v>
      </c>
      <c r="F14" s="128" t="s">
        <v>164</v>
      </c>
      <c r="G14" s="129" t="s">
        <v>164</v>
      </c>
      <c r="H14" s="128">
        <v>13</v>
      </c>
      <c r="I14" s="73">
        <v>1</v>
      </c>
    </row>
    <row r="15" spans="1:9" ht="15.5" x14ac:dyDescent="0.35">
      <c r="A15" s="127" t="s">
        <v>54</v>
      </c>
      <c r="B15" s="128">
        <v>10</v>
      </c>
      <c r="C15" s="158">
        <v>5.7000000000000002E-2</v>
      </c>
      <c r="D15" s="128">
        <v>15</v>
      </c>
      <c r="E15" s="129" t="s">
        <v>164</v>
      </c>
      <c r="F15" s="128">
        <v>10</v>
      </c>
      <c r="G15" s="129" t="s">
        <v>164</v>
      </c>
      <c r="H15" s="132">
        <v>15</v>
      </c>
      <c r="I15" s="50">
        <v>0.92</v>
      </c>
    </row>
    <row r="16" spans="1:9" ht="15.5" x14ac:dyDescent="0.35">
      <c r="A16" s="134" t="s">
        <v>55</v>
      </c>
      <c r="B16" s="132">
        <v>5</v>
      </c>
      <c r="C16" s="157">
        <v>2.5000000000000001E-2</v>
      </c>
      <c r="D16" s="132">
        <v>5</v>
      </c>
      <c r="E16" s="129" t="s">
        <v>164</v>
      </c>
      <c r="F16" s="128" t="s">
        <v>164</v>
      </c>
      <c r="G16" s="129" t="s">
        <v>164</v>
      </c>
      <c r="H16" s="128">
        <v>15</v>
      </c>
      <c r="I16" s="73">
        <v>1</v>
      </c>
    </row>
    <row r="17" spans="1:11" ht="15.5" x14ac:dyDescent="0.35">
      <c r="A17" s="127" t="s">
        <v>56</v>
      </c>
      <c r="B17" s="128">
        <v>5</v>
      </c>
      <c r="C17" s="158">
        <v>1.2999999999999999E-2</v>
      </c>
      <c r="D17" s="128">
        <v>5</v>
      </c>
      <c r="E17" s="129" t="s">
        <v>164</v>
      </c>
      <c r="F17" s="128" t="s">
        <v>164</v>
      </c>
      <c r="G17" s="129">
        <v>0</v>
      </c>
      <c r="H17" s="132">
        <v>15</v>
      </c>
      <c r="I17" s="50">
        <v>0.75</v>
      </c>
    </row>
    <row r="18" spans="1:11" ht="15.5" x14ac:dyDescent="0.35">
      <c r="A18" s="134" t="s">
        <v>57</v>
      </c>
      <c r="B18" s="132">
        <v>5</v>
      </c>
      <c r="C18" s="157">
        <v>3.1E-2</v>
      </c>
      <c r="D18" s="132">
        <v>5</v>
      </c>
      <c r="E18" s="129" t="s">
        <v>164</v>
      </c>
      <c r="F18" s="128" t="s">
        <v>164</v>
      </c>
      <c r="G18" s="136">
        <v>0</v>
      </c>
      <c r="H18" s="128">
        <v>12</v>
      </c>
      <c r="I18" s="73">
        <v>1</v>
      </c>
    </row>
    <row r="19" spans="1:11" ht="15.5" x14ac:dyDescent="0.35">
      <c r="A19" s="137" t="s">
        <v>58</v>
      </c>
      <c r="B19" s="138">
        <v>10</v>
      </c>
      <c r="C19" s="158">
        <v>2.4E-2</v>
      </c>
      <c r="D19" s="138">
        <v>10</v>
      </c>
      <c r="E19" s="139">
        <v>5</v>
      </c>
      <c r="F19" s="140">
        <v>5</v>
      </c>
      <c r="G19" s="141" t="s">
        <v>164</v>
      </c>
      <c r="H19" s="142">
        <v>12</v>
      </c>
      <c r="I19" s="50">
        <v>0.75</v>
      </c>
    </row>
    <row r="20" spans="1:11" ht="15.5" x14ac:dyDescent="0.35">
      <c r="A20" s="143" t="s">
        <v>59</v>
      </c>
      <c r="B20" s="142">
        <v>5</v>
      </c>
      <c r="C20" s="157">
        <v>8.9999999999999993E-3</v>
      </c>
      <c r="D20" s="138" t="s">
        <v>164</v>
      </c>
      <c r="E20" s="141" t="s">
        <v>164</v>
      </c>
      <c r="F20" s="138" t="s">
        <v>164</v>
      </c>
      <c r="G20" s="141" t="s">
        <v>164</v>
      </c>
      <c r="H20" s="130" t="s">
        <v>164</v>
      </c>
      <c r="I20" s="73" t="s">
        <v>164</v>
      </c>
    </row>
    <row r="21" spans="1:11" ht="15.5" x14ac:dyDescent="0.35">
      <c r="A21" s="137" t="s">
        <v>60</v>
      </c>
      <c r="B21" s="138">
        <v>5</v>
      </c>
      <c r="C21" s="158">
        <v>1.0999999999999999E-2</v>
      </c>
      <c r="D21" s="138">
        <v>5</v>
      </c>
      <c r="E21" s="141" t="s">
        <v>164</v>
      </c>
      <c r="F21" s="138" t="s">
        <v>164</v>
      </c>
      <c r="G21" s="141">
        <v>0</v>
      </c>
      <c r="H21" s="142">
        <v>14</v>
      </c>
      <c r="I21" s="50">
        <v>0.8</v>
      </c>
    </row>
    <row r="22" spans="1:11" ht="15.5" x14ac:dyDescent="0.35">
      <c r="A22" s="137" t="s">
        <v>61</v>
      </c>
      <c r="B22" s="138">
        <v>5</v>
      </c>
      <c r="C22" s="157">
        <v>1.9E-2</v>
      </c>
      <c r="D22" s="138">
        <v>10</v>
      </c>
      <c r="E22" s="141">
        <v>5</v>
      </c>
      <c r="F22" s="138">
        <v>5</v>
      </c>
      <c r="G22" s="141" t="s">
        <v>164</v>
      </c>
      <c r="H22" s="142">
        <v>6</v>
      </c>
      <c r="I22" s="73">
        <v>0.86</v>
      </c>
    </row>
    <row r="23" spans="1:11" ht="15.5" x14ac:dyDescent="0.35">
      <c r="A23" s="137" t="s">
        <v>62</v>
      </c>
      <c r="B23" s="138">
        <v>10</v>
      </c>
      <c r="C23" s="158">
        <v>0.02</v>
      </c>
      <c r="D23" s="138">
        <v>5</v>
      </c>
      <c r="E23" s="141">
        <v>5</v>
      </c>
      <c r="F23" s="138" t="s">
        <v>164</v>
      </c>
      <c r="G23" s="141" t="s">
        <v>164</v>
      </c>
      <c r="H23" s="142">
        <v>6</v>
      </c>
      <c r="I23" s="50">
        <v>1</v>
      </c>
    </row>
    <row r="24" spans="1:11" ht="15.5" x14ac:dyDescent="0.35">
      <c r="A24" s="137" t="s">
        <v>63</v>
      </c>
      <c r="B24" s="138">
        <v>5</v>
      </c>
      <c r="C24" s="157">
        <v>1.4E-2</v>
      </c>
      <c r="D24" s="138">
        <v>5</v>
      </c>
      <c r="E24" s="141" t="s">
        <v>164</v>
      </c>
      <c r="F24" s="138" t="s">
        <v>164</v>
      </c>
      <c r="G24" s="141">
        <v>0</v>
      </c>
      <c r="H24" s="142">
        <v>10</v>
      </c>
      <c r="I24" s="73">
        <v>1</v>
      </c>
    </row>
    <row r="25" spans="1:11" ht="15.5" x14ac:dyDescent="0.35">
      <c r="A25" s="134" t="s">
        <v>64</v>
      </c>
      <c r="B25" s="132">
        <v>5</v>
      </c>
      <c r="C25" s="158">
        <v>2.8000000000000001E-2</v>
      </c>
      <c r="D25" s="132">
        <v>10</v>
      </c>
      <c r="E25" s="135">
        <v>0</v>
      </c>
      <c r="F25" s="132">
        <v>10</v>
      </c>
      <c r="G25" s="135">
        <v>0</v>
      </c>
      <c r="H25" s="132">
        <v>8</v>
      </c>
      <c r="I25" s="50">
        <v>0.75</v>
      </c>
    </row>
    <row r="26" spans="1:11" ht="15.5" x14ac:dyDescent="0.35">
      <c r="A26" s="134" t="s">
        <v>65</v>
      </c>
      <c r="B26" s="132">
        <v>5</v>
      </c>
      <c r="C26" s="157">
        <v>1.0999999999999999E-2</v>
      </c>
      <c r="D26" s="132">
        <v>5</v>
      </c>
      <c r="E26" s="136" t="s">
        <v>164</v>
      </c>
      <c r="F26" s="133" t="s">
        <v>164</v>
      </c>
      <c r="G26" s="135">
        <v>0</v>
      </c>
      <c r="H26" s="132">
        <v>7</v>
      </c>
      <c r="I26" s="73">
        <v>1</v>
      </c>
    </row>
    <row r="27" spans="1:11" ht="15.5" x14ac:dyDescent="0.35">
      <c r="A27" s="134" t="s">
        <v>81</v>
      </c>
      <c r="B27" s="144">
        <v>5</v>
      </c>
      <c r="C27" s="158">
        <v>1.6E-2</v>
      </c>
      <c r="D27" s="144">
        <v>5</v>
      </c>
      <c r="E27" s="136" t="s">
        <v>164</v>
      </c>
      <c r="F27" s="145" t="s">
        <v>164</v>
      </c>
      <c r="G27" s="135">
        <v>5</v>
      </c>
      <c r="H27" s="128" t="s">
        <v>164</v>
      </c>
      <c r="I27" s="50" t="s">
        <v>164</v>
      </c>
    </row>
    <row r="28" spans="1:11" ht="14.5" customHeight="1" x14ac:dyDescent="0.35">
      <c r="A28" s="9" t="s">
        <v>9</v>
      </c>
      <c r="B28" s="9"/>
      <c r="C28" s="9"/>
      <c r="D28" s="9"/>
      <c r="E28" s="9"/>
      <c r="F28" s="9"/>
      <c r="G28" s="9"/>
      <c r="H28" s="9"/>
      <c r="I28" s="9"/>
      <c r="J28" s="9"/>
    </row>
    <row r="29" spans="1:11" ht="14.5" customHeight="1" x14ac:dyDescent="0.35">
      <c r="A29" s="9" t="s">
        <v>118</v>
      </c>
      <c r="B29" s="9"/>
      <c r="C29" s="9"/>
      <c r="D29" s="70"/>
      <c r="E29" s="9"/>
      <c r="F29" s="9"/>
      <c r="G29" s="9"/>
      <c r="H29" s="9"/>
      <c r="I29" s="9"/>
      <c r="J29" s="9"/>
    </row>
    <row r="30" spans="1:11" ht="14.5" customHeight="1" x14ac:dyDescent="0.35">
      <c r="A30" s="9" t="s">
        <v>160</v>
      </c>
      <c r="B30" s="9"/>
      <c r="C30" s="9"/>
      <c r="D30" s="9"/>
      <c r="E30" s="9"/>
      <c r="F30" s="9"/>
      <c r="G30" s="9"/>
      <c r="H30" s="9"/>
      <c r="I30" s="9"/>
      <c r="J30" s="9"/>
      <c r="K30" s="9"/>
    </row>
    <row r="31" spans="1:11" ht="14.5" customHeight="1" x14ac:dyDescent="0.35">
      <c r="A31" s="9" t="s">
        <v>155</v>
      </c>
      <c r="B31" s="9"/>
      <c r="C31" s="9"/>
      <c r="D31" s="9"/>
      <c r="E31" s="9"/>
      <c r="F31" s="9"/>
      <c r="G31" s="9"/>
      <c r="H31" s="9"/>
      <c r="I31" s="9"/>
      <c r="J31" s="9"/>
      <c r="K31" s="9"/>
    </row>
    <row r="32" spans="1:11" ht="14.5" customHeight="1" x14ac:dyDescent="0.35">
      <c r="A32" s="9" t="s">
        <v>156</v>
      </c>
      <c r="B32" s="9"/>
      <c r="C32" s="9"/>
      <c r="D32" s="9"/>
      <c r="E32" s="9"/>
      <c r="F32" s="9"/>
      <c r="G32" s="9"/>
      <c r="H32" s="9"/>
      <c r="I32" s="9"/>
      <c r="J32" s="9"/>
      <c r="K32" s="9"/>
    </row>
    <row r="33" spans="1:11" ht="248" customHeight="1" x14ac:dyDescent="0.35">
      <c r="A33" s="6" t="s">
        <v>158</v>
      </c>
      <c r="B33" s="9"/>
      <c r="C33" s="9"/>
      <c r="D33" s="9"/>
      <c r="E33" s="9"/>
      <c r="F33" s="9"/>
      <c r="G33" s="9"/>
      <c r="H33" s="9"/>
      <c r="I33" s="9"/>
      <c r="J33" s="9"/>
      <c r="K33" s="9"/>
    </row>
    <row r="34" spans="1:11" ht="14.5" customHeight="1" x14ac:dyDescent="0.35">
      <c r="A34" s="9" t="s">
        <v>159</v>
      </c>
      <c r="B34" s="9"/>
      <c r="C34" s="9"/>
      <c r="D34" s="9"/>
      <c r="E34" s="9"/>
      <c r="F34" s="9"/>
      <c r="G34" s="9"/>
      <c r="H34" s="9"/>
      <c r="I34" s="9"/>
      <c r="J34" s="9"/>
      <c r="K34" s="9"/>
    </row>
  </sheetData>
  <conditionalFormatting sqref="H4">
    <cfRule type="dataBar" priority="9">
      <dataBar>
        <cfvo type="num" val="0"/>
        <cfvo type="num" val="1"/>
        <color theme="4" tint="-0.249977111117893"/>
      </dataBar>
      <extLst>
        <ext xmlns:x14="http://schemas.microsoft.com/office/spreadsheetml/2009/9/main" uri="{B025F937-C7B1-47D3-B67F-A62EFF666E3E}">
          <x14:id>{E85FC4A9-A7B9-423F-BDF2-53DA56810808}</x14:id>
        </ext>
      </extLst>
    </cfRule>
  </conditionalFormatting>
  <conditionalFormatting sqref="C6:C27">
    <cfRule type="dataBar" priority="7">
      <dataBar>
        <cfvo type="num" val="0"/>
        <cfvo type="num" val="1"/>
        <color rgb="FFB4A9D4"/>
      </dataBar>
      <extLst>
        <ext xmlns:x14="http://schemas.microsoft.com/office/spreadsheetml/2009/9/main" uri="{B025F937-C7B1-47D3-B67F-A62EFF666E3E}">
          <x14:id>{E7A0D004-4ADC-4A6C-879D-D5F6A84C9D7D}</x14:id>
        </ext>
      </extLst>
    </cfRule>
  </conditionalFormatting>
  <conditionalFormatting sqref="C5">
    <cfRule type="dataBar" priority="6">
      <dataBar>
        <cfvo type="num" val="0"/>
        <cfvo type="num" val="1"/>
        <color rgb="FFB4A9D4"/>
      </dataBar>
      <extLst>
        <ext xmlns:x14="http://schemas.microsoft.com/office/spreadsheetml/2009/9/main" uri="{B025F937-C7B1-47D3-B67F-A62EFF666E3E}">
          <x14:id>{8AE3B5A1-035F-4C5E-B6EE-FF755B178FB5}</x14:id>
        </ext>
      </extLst>
    </cfRule>
  </conditionalFormatting>
  <conditionalFormatting sqref="I6:I8 I10:I26">
    <cfRule type="dataBar" priority="5">
      <dataBar>
        <cfvo type="num" val="0"/>
        <cfvo type="num" val="1"/>
        <color rgb="FFB4A9D4"/>
      </dataBar>
      <extLst>
        <ext xmlns:x14="http://schemas.microsoft.com/office/spreadsheetml/2009/9/main" uri="{B025F937-C7B1-47D3-B67F-A62EFF666E3E}">
          <x14:id>{D5A259BD-A91C-4A9B-B038-90A6D419D7B0}</x14:id>
        </ext>
      </extLst>
    </cfRule>
  </conditionalFormatting>
  <conditionalFormatting sqref="I5">
    <cfRule type="dataBar" priority="4">
      <dataBar>
        <cfvo type="num" val="0"/>
        <cfvo type="num" val="1"/>
        <color rgb="FFB4A9D4"/>
      </dataBar>
      <extLst>
        <ext xmlns:x14="http://schemas.microsoft.com/office/spreadsheetml/2009/9/main" uri="{B025F937-C7B1-47D3-B67F-A62EFF666E3E}">
          <x14:id>{25BD567A-092F-44C8-838B-D067CA4EEB56}</x14:id>
        </ext>
      </extLst>
    </cfRule>
  </conditionalFormatting>
  <conditionalFormatting sqref="I27">
    <cfRule type="dataBar" priority="3">
      <dataBar>
        <cfvo type="num" val="0"/>
        <cfvo type="num" val="1"/>
        <color rgb="FFB4A9D4"/>
      </dataBar>
      <extLst>
        <ext xmlns:x14="http://schemas.microsoft.com/office/spreadsheetml/2009/9/main" uri="{B025F937-C7B1-47D3-B67F-A62EFF666E3E}">
          <x14:id>{D99C2F0F-5224-46EF-AFF3-CFD2121125FB}</x14:id>
        </ext>
      </extLst>
    </cfRule>
  </conditionalFormatting>
  <conditionalFormatting sqref="I9">
    <cfRule type="dataBar" priority="1">
      <dataBar>
        <cfvo type="num" val="0"/>
        <cfvo type="num" val="1"/>
        <color rgb="FFB4A9D4"/>
      </dataBar>
      <extLst>
        <ext xmlns:x14="http://schemas.microsoft.com/office/spreadsheetml/2009/9/main" uri="{B025F937-C7B1-47D3-B67F-A62EFF666E3E}">
          <x14:id>{C6AE7073-6758-4300-9B83-EA3A25C1A784}</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85FC4A9-A7B9-423F-BDF2-53DA56810808}">
            <x14:dataBar minLength="0" maxLength="100" border="1">
              <x14:cfvo type="num">
                <xm:f>0</xm:f>
              </x14:cfvo>
              <x14:cfvo type="num">
                <xm:f>1</xm:f>
              </x14:cfvo>
              <x14:borderColor theme="8" tint="0.39997558519241921"/>
              <x14:negativeFillColor rgb="FFFF0000"/>
              <x14:axisColor rgb="FF000000"/>
            </x14:dataBar>
          </x14:cfRule>
          <xm:sqref>H4</xm:sqref>
        </x14:conditionalFormatting>
        <x14:conditionalFormatting xmlns:xm="http://schemas.microsoft.com/office/excel/2006/main">
          <x14:cfRule type="dataBar" id="{E7A0D004-4ADC-4A6C-879D-D5F6A84C9D7D}">
            <x14:dataBar minLength="0" maxLength="100" gradient="0">
              <x14:cfvo type="num">
                <xm:f>0</xm:f>
              </x14:cfvo>
              <x14:cfvo type="num">
                <xm:f>1</xm:f>
              </x14:cfvo>
              <x14:negativeFillColor rgb="FFFF0000"/>
              <x14:axisColor rgb="FF000000"/>
            </x14:dataBar>
          </x14:cfRule>
          <xm:sqref>C6:C27</xm:sqref>
        </x14:conditionalFormatting>
        <x14:conditionalFormatting xmlns:xm="http://schemas.microsoft.com/office/excel/2006/main">
          <x14:cfRule type="dataBar" id="{8AE3B5A1-035F-4C5E-B6EE-FF755B178FB5}">
            <x14:dataBar minLength="0" maxLength="100" gradient="0">
              <x14:cfvo type="num">
                <xm:f>0</xm:f>
              </x14:cfvo>
              <x14:cfvo type="num">
                <xm:f>1</xm:f>
              </x14:cfvo>
              <x14:negativeFillColor rgb="FFFF0000"/>
              <x14:axisColor rgb="FF000000"/>
            </x14:dataBar>
          </x14:cfRule>
          <xm:sqref>C5</xm:sqref>
        </x14:conditionalFormatting>
        <x14:conditionalFormatting xmlns:xm="http://schemas.microsoft.com/office/excel/2006/main">
          <x14:cfRule type="dataBar" id="{D5A259BD-A91C-4A9B-B038-90A6D419D7B0}">
            <x14:dataBar minLength="0" maxLength="100" gradient="0">
              <x14:cfvo type="num">
                <xm:f>0</xm:f>
              </x14:cfvo>
              <x14:cfvo type="num">
                <xm:f>1</xm:f>
              </x14:cfvo>
              <x14:negativeFillColor rgb="FFFF0000"/>
              <x14:axisColor rgb="FF000000"/>
            </x14:dataBar>
          </x14:cfRule>
          <xm:sqref>I6:I8 I10:I26</xm:sqref>
        </x14:conditionalFormatting>
        <x14:conditionalFormatting xmlns:xm="http://schemas.microsoft.com/office/excel/2006/main">
          <x14:cfRule type="dataBar" id="{25BD567A-092F-44C8-838B-D067CA4EEB56}">
            <x14:dataBar minLength="0" maxLength="100" gradient="0">
              <x14:cfvo type="num">
                <xm:f>0</xm:f>
              </x14:cfvo>
              <x14:cfvo type="num">
                <xm:f>1</xm:f>
              </x14:cfvo>
              <x14:negativeFillColor rgb="FFFF0000"/>
              <x14:axisColor rgb="FF000000"/>
            </x14:dataBar>
          </x14:cfRule>
          <xm:sqref>I5</xm:sqref>
        </x14:conditionalFormatting>
        <x14:conditionalFormatting xmlns:xm="http://schemas.microsoft.com/office/excel/2006/main">
          <x14:cfRule type="dataBar" id="{D99C2F0F-5224-46EF-AFF3-CFD2121125FB}">
            <x14:dataBar minLength="0" maxLength="100" gradient="0">
              <x14:cfvo type="num">
                <xm:f>0</xm:f>
              </x14:cfvo>
              <x14:cfvo type="num">
                <xm:f>1</xm:f>
              </x14:cfvo>
              <x14:negativeFillColor rgb="FFFF0000"/>
              <x14:axisColor rgb="FF000000"/>
            </x14:dataBar>
          </x14:cfRule>
          <xm:sqref>I27</xm:sqref>
        </x14:conditionalFormatting>
        <x14:conditionalFormatting xmlns:xm="http://schemas.microsoft.com/office/excel/2006/main">
          <x14:cfRule type="dataBar" id="{C6AE7073-6758-4300-9B83-EA3A25C1A784}">
            <x14:dataBar minLength="0" maxLength="100" gradient="0">
              <x14:cfvo type="num">
                <xm:f>0</xm:f>
              </x14:cfvo>
              <x14:cfvo type="num">
                <xm:f>1</xm:f>
              </x14:cfvo>
              <x14:negativeFillColor rgb="FFFF0000"/>
              <x14:axisColor rgb="FF000000"/>
            </x14:dataBar>
          </x14:cfRule>
          <xm:sqref>I9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2"/>
  </sheetPr>
  <dimension ref="A1:AK36"/>
  <sheetViews>
    <sheetView zoomScale="80" zoomScaleNormal="80" workbookViewId="0"/>
  </sheetViews>
  <sheetFormatPr defaultRowHeight="14.5" x14ac:dyDescent="0.35"/>
  <sheetData>
    <row r="1" spans="1:37" ht="21" x14ac:dyDescent="0.5">
      <c r="A1" s="38" t="s">
        <v>16</v>
      </c>
    </row>
    <row r="4" spans="1:37" x14ac:dyDescent="0.35">
      <c r="AF4" s="4"/>
      <c r="AG4" s="4"/>
      <c r="AH4" s="4"/>
      <c r="AI4" s="4"/>
    </row>
    <row r="5" spans="1:37" x14ac:dyDescent="0.35">
      <c r="AF5" s="4"/>
      <c r="AG5" s="4"/>
      <c r="AH5" s="4"/>
      <c r="AI5" s="4"/>
    </row>
    <row r="6" spans="1:37" x14ac:dyDescent="0.35">
      <c r="AF6" s="4"/>
      <c r="AG6" s="4"/>
      <c r="AH6" s="4"/>
      <c r="AI6" s="4"/>
    </row>
    <row r="7" spans="1:37" x14ac:dyDescent="0.35">
      <c r="AF7" s="4"/>
      <c r="AG7" s="4"/>
      <c r="AH7" s="4"/>
      <c r="AI7" s="4"/>
    </row>
    <row r="8" spans="1:37" x14ac:dyDescent="0.35">
      <c r="AF8" s="4"/>
      <c r="AG8" s="4"/>
      <c r="AH8" s="4"/>
      <c r="AI8" s="4"/>
    </row>
    <row r="9" spans="1:37" x14ac:dyDescent="0.35">
      <c r="AF9" s="4"/>
      <c r="AG9" s="4"/>
      <c r="AH9" s="4"/>
      <c r="AI9" s="4"/>
    </row>
    <row r="10" spans="1:37" x14ac:dyDescent="0.35">
      <c r="AE10" s="4"/>
      <c r="AF10" s="4"/>
      <c r="AG10" s="4"/>
      <c r="AH10" s="4"/>
      <c r="AI10" s="4"/>
      <c r="AJ10" s="4"/>
      <c r="AK10" s="4"/>
    </row>
    <row r="11" spans="1:37" x14ac:dyDescent="0.35">
      <c r="AD11" s="224"/>
      <c r="AE11" s="77"/>
      <c r="AF11" s="4"/>
      <c r="AG11" s="4"/>
      <c r="AH11" s="4"/>
      <c r="AI11" s="4"/>
      <c r="AJ11" s="4"/>
      <c r="AK11" s="4"/>
    </row>
    <row r="12" spans="1:37" x14ac:dyDescent="0.35">
      <c r="AD12" s="224"/>
      <c r="AE12" s="77"/>
      <c r="AF12" s="4"/>
      <c r="AG12" s="4"/>
      <c r="AH12" s="4"/>
      <c r="AI12" s="4"/>
      <c r="AJ12" s="4"/>
      <c r="AK12" s="4"/>
    </row>
    <row r="13" spans="1:37" x14ac:dyDescent="0.35">
      <c r="AD13" s="224"/>
      <c r="AE13" s="77"/>
      <c r="AF13" s="4"/>
      <c r="AG13" s="4"/>
      <c r="AH13" s="4"/>
      <c r="AI13" s="4"/>
      <c r="AJ13" s="4"/>
      <c r="AK13" s="4"/>
    </row>
    <row r="14" spans="1:37" x14ac:dyDescent="0.35">
      <c r="AD14" s="224"/>
      <c r="AE14" s="77"/>
      <c r="AF14" s="4"/>
      <c r="AG14" s="4"/>
      <c r="AH14" s="4"/>
      <c r="AI14" s="4"/>
      <c r="AJ14" s="4"/>
      <c r="AK14" s="4"/>
    </row>
    <row r="15" spans="1:37" x14ac:dyDescent="0.35">
      <c r="AD15" s="224"/>
      <c r="AE15" s="77"/>
      <c r="AF15" s="4"/>
      <c r="AG15" s="4"/>
      <c r="AH15" s="4"/>
      <c r="AI15" s="4"/>
      <c r="AJ15" s="4"/>
      <c r="AK15" s="4"/>
    </row>
    <row r="16" spans="1:37" x14ac:dyDescent="0.35">
      <c r="AD16" s="224"/>
      <c r="AE16" s="77"/>
      <c r="AF16" s="4"/>
      <c r="AG16" s="4"/>
      <c r="AH16" s="4"/>
      <c r="AI16" s="4"/>
      <c r="AJ16" s="4"/>
      <c r="AK16" s="4"/>
    </row>
    <row r="17" spans="30:37" x14ac:dyDescent="0.35">
      <c r="AD17" s="224"/>
      <c r="AE17" s="77"/>
      <c r="AF17" s="4"/>
      <c r="AG17" s="4"/>
      <c r="AH17" s="4"/>
      <c r="AI17" s="4"/>
      <c r="AJ17" s="4"/>
      <c r="AK17" s="4"/>
    </row>
    <row r="18" spans="30:37" x14ac:dyDescent="0.35">
      <c r="AD18" s="224"/>
      <c r="AE18" s="77"/>
      <c r="AF18" s="4"/>
      <c r="AG18" s="4"/>
      <c r="AH18" s="4"/>
      <c r="AI18" s="4"/>
      <c r="AJ18" s="4"/>
      <c r="AK18" s="4"/>
    </row>
    <row r="19" spans="30:37" x14ac:dyDescent="0.35">
      <c r="AD19" s="224"/>
      <c r="AE19" s="77"/>
      <c r="AF19" s="4"/>
      <c r="AG19" s="4"/>
      <c r="AH19" s="4"/>
      <c r="AI19" s="4"/>
      <c r="AJ19" s="4"/>
      <c r="AK19" s="4"/>
    </row>
    <row r="20" spans="30:37" x14ac:dyDescent="0.35">
      <c r="AD20" s="224"/>
      <c r="AE20" s="77"/>
      <c r="AF20" s="4"/>
      <c r="AG20" s="4"/>
      <c r="AH20" s="4"/>
      <c r="AI20" s="4"/>
      <c r="AJ20" s="4"/>
      <c r="AK20" s="4"/>
    </row>
    <row r="21" spans="30:37" x14ac:dyDescent="0.35">
      <c r="AD21" s="224"/>
      <c r="AE21" s="77"/>
      <c r="AF21" s="4"/>
      <c r="AG21" s="4"/>
      <c r="AH21" s="4"/>
      <c r="AI21" s="4"/>
      <c r="AJ21" s="4"/>
      <c r="AK21" s="4"/>
    </row>
    <row r="22" spans="30:37" x14ac:dyDescent="0.35">
      <c r="AD22" s="224"/>
      <c r="AE22" s="77"/>
      <c r="AF22" s="4"/>
      <c r="AG22" s="4"/>
      <c r="AH22" s="4"/>
      <c r="AI22" s="4"/>
      <c r="AJ22" s="4"/>
      <c r="AK22" s="4"/>
    </row>
    <row r="23" spans="30:37" x14ac:dyDescent="0.35">
      <c r="AD23" s="224"/>
      <c r="AE23" s="77"/>
      <c r="AF23" s="4"/>
      <c r="AG23" s="4"/>
      <c r="AH23" s="4"/>
      <c r="AI23" s="4"/>
      <c r="AJ23" s="4"/>
      <c r="AK23" s="4"/>
    </row>
    <row r="24" spans="30:37" x14ac:dyDescent="0.35">
      <c r="AD24" s="224"/>
      <c r="AE24" s="77"/>
      <c r="AF24" s="4"/>
      <c r="AG24" s="4"/>
      <c r="AH24" s="4"/>
      <c r="AI24" s="4"/>
      <c r="AJ24" s="4"/>
      <c r="AK24" s="4"/>
    </row>
    <row r="25" spans="30:37" x14ac:dyDescent="0.35">
      <c r="AD25" s="224"/>
      <c r="AE25" s="77"/>
      <c r="AF25" s="4"/>
      <c r="AG25" s="4"/>
      <c r="AH25" s="4"/>
      <c r="AI25" s="4"/>
      <c r="AJ25" s="4"/>
      <c r="AK25" s="4"/>
    </row>
    <row r="26" spans="30:37" x14ac:dyDescent="0.35">
      <c r="AD26" s="225"/>
      <c r="AE26" s="77"/>
      <c r="AF26" s="4"/>
      <c r="AG26" s="4"/>
      <c r="AH26" s="4"/>
      <c r="AI26" s="4"/>
      <c r="AJ26" s="4"/>
      <c r="AK26" s="4"/>
    </row>
    <row r="27" spans="30:37" x14ac:dyDescent="0.35">
      <c r="AD27" s="225"/>
      <c r="AE27" s="77"/>
      <c r="AF27" s="4"/>
      <c r="AG27" s="4"/>
      <c r="AH27" s="4"/>
      <c r="AI27" s="4"/>
      <c r="AJ27" s="4"/>
      <c r="AK27" s="4"/>
    </row>
    <row r="28" spans="30:37" x14ac:dyDescent="0.35">
      <c r="AD28" s="225"/>
      <c r="AE28" s="77"/>
      <c r="AF28" s="4"/>
      <c r="AG28" s="4"/>
      <c r="AH28" s="4"/>
      <c r="AI28" s="4"/>
      <c r="AJ28" s="4"/>
      <c r="AK28" s="4"/>
    </row>
    <row r="29" spans="30:37" x14ac:dyDescent="0.35">
      <c r="AD29" s="225"/>
      <c r="AE29" s="77"/>
      <c r="AF29" s="4"/>
      <c r="AG29" s="4"/>
      <c r="AH29" s="4"/>
      <c r="AI29" s="4"/>
      <c r="AJ29" s="4"/>
      <c r="AK29" s="4"/>
    </row>
    <row r="30" spans="30:37" x14ac:dyDescent="0.35">
      <c r="AD30" s="225"/>
      <c r="AE30" s="77"/>
      <c r="AF30" s="4"/>
      <c r="AG30" s="4"/>
      <c r="AH30" s="4"/>
      <c r="AI30" s="4"/>
      <c r="AJ30" s="4"/>
      <c r="AK30" s="4"/>
    </row>
    <row r="31" spans="30:37" x14ac:dyDescent="0.35">
      <c r="AD31" s="225"/>
      <c r="AE31" s="77"/>
      <c r="AF31" s="4"/>
      <c r="AG31" s="4"/>
      <c r="AH31" s="4"/>
      <c r="AI31" s="4"/>
      <c r="AJ31" s="4"/>
      <c r="AK31" s="4"/>
    </row>
    <row r="32" spans="30:37" x14ac:dyDescent="0.35">
      <c r="AD32" s="225"/>
      <c r="AE32" s="77"/>
      <c r="AF32" s="4"/>
      <c r="AG32" s="4"/>
      <c r="AH32" s="4"/>
      <c r="AI32" s="4"/>
      <c r="AJ32" s="4"/>
      <c r="AK32" s="4"/>
    </row>
    <row r="33" spans="31:37" x14ac:dyDescent="0.35">
      <c r="AE33" s="4"/>
      <c r="AF33" s="4"/>
      <c r="AG33" s="4"/>
      <c r="AH33" s="4"/>
      <c r="AI33" s="4"/>
      <c r="AJ33" s="4"/>
      <c r="AK33" s="4"/>
    </row>
    <row r="34" spans="31:37" x14ac:dyDescent="0.35">
      <c r="AE34" s="4"/>
      <c r="AF34" s="4"/>
      <c r="AG34" s="4"/>
      <c r="AH34" s="4"/>
      <c r="AI34" s="4"/>
      <c r="AJ34" s="4"/>
      <c r="AK34" s="4"/>
    </row>
    <row r="35" spans="31:37" x14ac:dyDescent="0.35">
      <c r="AE35" s="4"/>
      <c r="AF35" s="4"/>
      <c r="AG35" s="4"/>
      <c r="AH35" s="4"/>
      <c r="AI35" s="4"/>
      <c r="AJ35" s="4"/>
      <c r="AK35" s="4"/>
    </row>
    <row r="36" spans="31:37" x14ac:dyDescent="0.35">
      <c r="AE36" s="4"/>
      <c r="AF36" s="4"/>
      <c r="AG36" s="4"/>
      <c r="AH36" s="4"/>
      <c r="AI36" s="4"/>
      <c r="AJ36" s="4"/>
      <c r="AK36" s="4"/>
    </row>
  </sheetData>
  <mergeCells count="3">
    <mergeCell ref="AD11:AD13"/>
    <mergeCell ref="AD14:AD25"/>
    <mergeCell ref="AD26:AD32"/>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zoomScale="75" zoomScaleNormal="75" workbookViewId="0"/>
  </sheetViews>
  <sheetFormatPr defaultRowHeight="14.5" x14ac:dyDescent="0.35"/>
  <cols>
    <col min="1" max="1" width="21.08984375" customWidth="1"/>
    <col min="2" max="2" width="11.90625" customWidth="1"/>
    <col min="3" max="3" width="12.81640625" customWidth="1"/>
    <col min="4" max="5" width="12" customWidth="1"/>
    <col min="6" max="6" width="12.90625" customWidth="1"/>
    <col min="7" max="7" width="12.7265625" customWidth="1"/>
    <col min="8" max="8" width="15.81640625" customWidth="1"/>
    <col min="9" max="9" width="11.90625" customWidth="1"/>
    <col min="10" max="10" width="13" customWidth="1"/>
    <col min="12" max="12" width="12" customWidth="1"/>
  </cols>
  <sheetData>
    <row r="1" spans="1:12" ht="58" x14ac:dyDescent="0.35">
      <c r="A1" s="177" t="s">
        <v>338</v>
      </c>
      <c r="B1" s="177" t="s">
        <v>329</v>
      </c>
      <c r="C1" s="177" t="s">
        <v>182</v>
      </c>
      <c r="D1" s="177" t="s">
        <v>187</v>
      </c>
      <c r="E1" s="177" t="s">
        <v>68</v>
      </c>
      <c r="F1" s="177" t="s">
        <v>161</v>
      </c>
      <c r="G1" s="177" t="s">
        <v>162</v>
      </c>
      <c r="H1" s="177" t="s">
        <v>71</v>
      </c>
      <c r="I1" s="177" t="s">
        <v>72</v>
      </c>
      <c r="J1" s="177" t="s">
        <v>163</v>
      </c>
      <c r="L1" s="181" t="s">
        <v>330</v>
      </c>
    </row>
    <row r="2" spans="1:12" x14ac:dyDescent="0.35">
      <c r="A2" s="178" t="s">
        <v>344</v>
      </c>
      <c r="B2" s="179">
        <v>790</v>
      </c>
      <c r="C2" s="180">
        <v>0.45</v>
      </c>
      <c r="D2" s="179">
        <v>630</v>
      </c>
      <c r="E2" s="179">
        <v>570</v>
      </c>
      <c r="F2" s="179">
        <v>55</v>
      </c>
      <c r="G2" s="179">
        <v>10</v>
      </c>
      <c r="H2" s="180">
        <v>0.9</v>
      </c>
      <c r="I2" s="180">
        <v>0.08</v>
      </c>
      <c r="J2" s="180">
        <v>0.01</v>
      </c>
      <c r="L2" t="s">
        <v>331</v>
      </c>
    </row>
    <row r="3" spans="1:12" x14ac:dyDescent="0.35">
      <c r="A3" s="178" t="s">
        <v>345</v>
      </c>
      <c r="B3" s="179">
        <v>1220</v>
      </c>
      <c r="C3" s="180">
        <v>0.36</v>
      </c>
      <c r="D3" s="179">
        <v>1290</v>
      </c>
      <c r="E3" s="179">
        <v>940</v>
      </c>
      <c r="F3" s="179">
        <v>340</v>
      </c>
      <c r="G3" s="179">
        <v>10</v>
      </c>
      <c r="H3" s="180">
        <v>0.73</v>
      </c>
      <c r="I3" s="180">
        <v>0.26</v>
      </c>
      <c r="J3" s="180">
        <v>0.01</v>
      </c>
      <c r="L3" t="s">
        <v>332</v>
      </c>
    </row>
    <row r="4" spans="1:12" x14ac:dyDescent="0.35">
      <c r="A4" s="178" t="s">
        <v>346</v>
      </c>
      <c r="B4" s="179">
        <v>365</v>
      </c>
      <c r="C4" s="180">
        <v>0.34</v>
      </c>
      <c r="D4" s="179">
        <v>330</v>
      </c>
      <c r="E4" s="179">
        <v>255</v>
      </c>
      <c r="F4" s="179">
        <v>75</v>
      </c>
      <c r="G4" s="179">
        <v>0</v>
      </c>
      <c r="H4" s="180">
        <v>0.78</v>
      </c>
      <c r="I4" s="180">
        <v>0.22</v>
      </c>
      <c r="J4" s="180">
        <v>0</v>
      </c>
      <c r="L4" t="s">
        <v>333</v>
      </c>
    </row>
    <row r="5" spans="1:12" x14ac:dyDescent="0.35">
      <c r="A5" s="178" t="s">
        <v>347</v>
      </c>
      <c r="B5" s="179">
        <v>2370</v>
      </c>
      <c r="C5" s="180">
        <v>0.38</v>
      </c>
      <c r="D5" s="179">
        <v>2250</v>
      </c>
      <c r="E5" s="179">
        <v>1765</v>
      </c>
      <c r="F5" s="179">
        <v>465</v>
      </c>
      <c r="G5" s="179">
        <v>20</v>
      </c>
      <c r="H5" s="180">
        <v>0.78</v>
      </c>
      <c r="I5" s="180">
        <v>0.21</v>
      </c>
      <c r="J5" s="180">
        <v>0.01</v>
      </c>
      <c r="L5" t="s">
        <v>96</v>
      </c>
    </row>
    <row r="6" spans="1:12" x14ac:dyDescent="0.35">
      <c r="A6" s="178" t="s">
        <v>348</v>
      </c>
      <c r="B6" s="179">
        <v>620</v>
      </c>
      <c r="C6" s="180">
        <v>0.35</v>
      </c>
      <c r="D6" s="179">
        <v>495</v>
      </c>
      <c r="E6" s="179">
        <v>400</v>
      </c>
      <c r="F6" s="179">
        <v>75</v>
      </c>
      <c r="G6" s="179">
        <v>15</v>
      </c>
      <c r="H6" s="180">
        <v>0.81</v>
      </c>
      <c r="I6" s="180">
        <v>0.15</v>
      </c>
      <c r="J6" s="180">
        <v>0.03</v>
      </c>
    </row>
    <row r="7" spans="1:12" x14ac:dyDescent="0.35">
      <c r="A7" s="178" t="s">
        <v>349</v>
      </c>
      <c r="B7" s="179">
        <v>1315</v>
      </c>
      <c r="C7" s="180">
        <v>0.39</v>
      </c>
      <c r="D7" s="179">
        <v>1350</v>
      </c>
      <c r="E7" s="179">
        <v>865</v>
      </c>
      <c r="F7" s="179">
        <v>450</v>
      </c>
      <c r="G7" s="179">
        <v>35</v>
      </c>
      <c r="H7" s="180">
        <v>0.64</v>
      </c>
      <c r="I7" s="180">
        <v>0.33</v>
      </c>
      <c r="J7" s="180">
        <v>0.03</v>
      </c>
    </row>
    <row r="8" spans="1:12" x14ac:dyDescent="0.35">
      <c r="A8" s="178" t="s">
        <v>350</v>
      </c>
      <c r="B8" s="179">
        <v>410</v>
      </c>
      <c r="C8" s="180">
        <v>0.38</v>
      </c>
      <c r="D8" s="179">
        <v>400</v>
      </c>
      <c r="E8" s="179">
        <v>280</v>
      </c>
      <c r="F8" s="179">
        <v>120</v>
      </c>
      <c r="G8" s="179">
        <v>0</v>
      </c>
      <c r="H8" s="180">
        <v>0.7</v>
      </c>
      <c r="I8" s="180">
        <v>0.3</v>
      </c>
      <c r="J8" s="180">
        <v>0</v>
      </c>
      <c r="L8" s="43"/>
    </row>
    <row r="9" spans="1:12" x14ac:dyDescent="0.35">
      <c r="A9" s="178" t="s">
        <v>351</v>
      </c>
      <c r="B9" s="179">
        <v>2345</v>
      </c>
      <c r="C9" s="180">
        <v>0.38</v>
      </c>
      <c r="D9" s="179">
        <v>2245</v>
      </c>
      <c r="E9" s="179">
        <v>1545</v>
      </c>
      <c r="F9" s="179">
        <v>645</v>
      </c>
      <c r="G9" s="179">
        <v>50</v>
      </c>
      <c r="H9" s="180">
        <v>0.69</v>
      </c>
      <c r="I9" s="180">
        <v>0.28999999999999998</v>
      </c>
      <c r="J9" s="180">
        <v>0.02</v>
      </c>
    </row>
    <row r="10" spans="1:12" x14ac:dyDescent="0.35">
      <c r="A10" s="178" t="s">
        <v>352</v>
      </c>
      <c r="B10" s="179">
        <v>310</v>
      </c>
      <c r="C10" s="180">
        <v>0.18</v>
      </c>
      <c r="D10" s="179">
        <v>255</v>
      </c>
      <c r="E10" s="179">
        <v>215</v>
      </c>
      <c r="F10" s="179">
        <v>30</v>
      </c>
      <c r="G10" s="179">
        <v>10</v>
      </c>
      <c r="H10" s="180">
        <v>0.85</v>
      </c>
      <c r="I10" s="180">
        <v>0.11</v>
      </c>
      <c r="J10" s="180">
        <v>0.04</v>
      </c>
    </row>
    <row r="11" spans="1:12" x14ac:dyDescent="0.35">
      <c r="A11" s="178" t="s">
        <v>353</v>
      </c>
      <c r="B11" s="179">
        <v>735</v>
      </c>
      <c r="C11" s="180">
        <v>0.22</v>
      </c>
      <c r="D11" s="179">
        <v>735</v>
      </c>
      <c r="E11" s="179">
        <v>485</v>
      </c>
      <c r="F11" s="179">
        <v>240</v>
      </c>
      <c r="G11" s="179" t="s">
        <v>164</v>
      </c>
      <c r="H11" s="180">
        <v>0.66</v>
      </c>
      <c r="I11" s="180" t="s">
        <v>164</v>
      </c>
      <c r="J11" s="180" t="s">
        <v>164</v>
      </c>
    </row>
    <row r="12" spans="1:12" x14ac:dyDescent="0.35">
      <c r="A12" s="178" t="s">
        <v>354</v>
      </c>
      <c r="B12" s="179">
        <v>275</v>
      </c>
      <c r="C12" s="180">
        <v>0.26</v>
      </c>
      <c r="D12" s="179">
        <v>260</v>
      </c>
      <c r="E12" s="179">
        <v>175</v>
      </c>
      <c r="F12" s="179">
        <v>85</v>
      </c>
      <c r="G12" s="179" t="s">
        <v>164</v>
      </c>
      <c r="H12" s="180">
        <v>0.68</v>
      </c>
      <c r="I12" s="180" t="s">
        <v>164</v>
      </c>
      <c r="J12" s="180" t="s">
        <v>164</v>
      </c>
    </row>
    <row r="13" spans="1:12" x14ac:dyDescent="0.35">
      <c r="A13" s="178" t="s">
        <v>355</v>
      </c>
      <c r="B13" s="179">
        <v>1325</v>
      </c>
      <c r="C13" s="180">
        <v>0.21</v>
      </c>
      <c r="D13" s="179">
        <v>1250</v>
      </c>
      <c r="E13" s="179">
        <v>875</v>
      </c>
      <c r="F13" s="179">
        <v>355</v>
      </c>
      <c r="G13" s="179">
        <v>20</v>
      </c>
      <c r="H13" s="180">
        <v>0.7</v>
      </c>
      <c r="I13" s="180">
        <v>0.28000000000000003</v>
      </c>
      <c r="J13" s="180">
        <v>0.02</v>
      </c>
    </row>
    <row r="14" spans="1:12" x14ac:dyDescent="0.35">
      <c r="A14" s="178" t="s">
        <v>334</v>
      </c>
      <c r="B14" s="179">
        <v>30</v>
      </c>
      <c r="C14" s="180">
        <v>0.02</v>
      </c>
      <c r="D14" s="179">
        <v>25</v>
      </c>
      <c r="E14" s="179" t="s">
        <v>164</v>
      </c>
      <c r="F14" s="179">
        <v>20</v>
      </c>
      <c r="G14" s="179">
        <v>10</v>
      </c>
      <c r="H14" s="180" t="s">
        <v>164</v>
      </c>
      <c r="I14" s="180">
        <v>0.67</v>
      </c>
      <c r="J14" s="180" t="s">
        <v>164</v>
      </c>
    </row>
    <row r="15" spans="1:12" x14ac:dyDescent="0.35">
      <c r="A15" s="178" t="s">
        <v>335</v>
      </c>
      <c r="B15" s="179">
        <v>100</v>
      </c>
      <c r="C15" s="180">
        <v>0.03</v>
      </c>
      <c r="D15" s="179">
        <v>100</v>
      </c>
      <c r="E15" s="179" t="s">
        <v>164</v>
      </c>
      <c r="F15" s="179">
        <v>85</v>
      </c>
      <c r="G15" s="179">
        <v>15</v>
      </c>
      <c r="H15" s="180" t="s">
        <v>164</v>
      </c>
      <c r="I15" s="180">
        <v>0.84</v>
      </c>
      <c r="J15" s="180" t="s">
        <v>164</v>
      </c>
    </row>
    <row r="16" spans="1:12" x14ac:dyDescent="0.35">
      <c r="A16" s="178" t="s">
        <v>336</v>
      </c>
      <c r="B16" s="179">
        <v>30</v>
      </c>
      <c r="C16" s="180">
        <v>0.03</v>
      </c>
      <c r="D16" s="179">
        <v>25</v>
      </c>
      <c r="E16" s="179" t="s">
        <v>164</v>
      </c>
      <c r="F16" s="179">
        <v>20</v>
      </c>
      <c r="G16" s="179">
        <v>5</v>
      </c>
      <c r="H16" s="180" t="s">
        <v>164</v>
      </c>
      <c r="I16" s="180">
        <v>0.84</v>
      </c>
      <c r="J16" s="180" t="s">
        <v>164</v>
      </c>
    </row>
    <row r="17" spans="1:10" x14ac:dyDescent="0.35">
      <c r="A17" s="178" t="s">
        <v>337</v>
      </c>
      <c r="B17" s="179">
        <v>160</v>
      </c>
      <c r="C17" s="180">
        <v>0.03</v>
      </c>
      <c r="D17" s="179">
        <v>150</v>
      </c>
      <c r="E17" s="179" t="s">
        <v>164</v>
      </c>
      <c r="F17" s="179">
        <v>120</v>
      </c>
      <c r="G17" s="179">
        <v>30</v>
      </c>
      <c r="H17" s="180" t="s">
        <v>164</v>
      </c>
      <c r="I17" s="180">
        <v>0.81</v>
      </c>
      <c r="J17" s="180" t="s">
        <v>164</v>
      </c>
    </row>
    <row r="18" spans="1:10" x14ac:dyDescent="0.35">
      <c r="A18" s="178" t="s">
        <v>316</v>
      </c>
      <c r="B18" s="179">
        <v>1750</v>
      </c>
      <c r="C18" s="180">
        <v>1</v>
      </c>
      <c r="D18" s="179">
        <v>1410</v>
      </c>
      <c r="E18" s="179">
        <v>1185</v>
      </c>
      <c r="F18" s="179">
        <v>175</v>
      </c>
      <c r="G18" s="179">
        <v>45</v>
      </c>
      <c r="H18" s="180">
        <v>0.84</v>
      </c>
      <c r="I18" s="180">
        <v>0.12</v>
      </c>
      <c r="J18" s="180">
        <v>0.03</v>
      </c>
    </row>
    <row r="19" spans="1:10" x14ac:dyDescent="0.35">
      <c r="A19" s="178" t="s">
        <v>317</v>
      </c>
      <c r="B19" s="179">
        <v>3375</v>
      </c>
      <c r="C19" s="180">
        <v>1</v>
      </c>
      <c r="D19" s="179">
        <v>3470</v>
      </c>
      <c r="E19" s="179">
        <v>2290</v>
      </c>
      <c r="F19" s="179">
        <v>1115</v>
      </c>
      <c r="G19" s="179">
        <v>70</v>
      </c>
      <c r="H19" s="180">
        <v>0.66</v>
      </c>
      <c r="I19" s="180">
        <v>0.32</v>
      </c>
      <c r="J19" s="180">
        <v>0.02</v>
      </c>
    </row>
    <row r="20" spans="1:10" x14ac:dyDescent="0.35">
      <c r="A20" s="178" t="s">
        <v>318</v>
      </c>
      <c r="B20" s="179">
        <v>1080</v>
      </c>
      <c r="C20" s="180">
        <v>1</v>
      </c>
      <c r="D20" s="179">
        <v>1015</v>
      </c>
      <c r="E20" s="179">
        <v>710</v>
      </c>
      <c r="F20" s="179">
        <v>295</v>
      </c>
      <c r="G20" s="179">
        <v>5</v>
      </c>
      <c r="H20" s="180">
        <v>0.7</v>
      </c>
      <c r="I20" s="180">
        <v>0.28999999999999998</v>
      </c>
      <c r="J20" s="180">
        <v>0</v>
      </c>
    </row>
    <row r="21" spans="1:10" x14ac:dyDescent="0.35">
      <c r="A21" s="178" t="s">
        <v>319</v>
      </c>
      <c r="B21" s="179">
        <v>6205</v>
      </c>
      <c r="C21" s="180">
        <v>1</v>
      </c>
      <c r="D21" s="179">
        <v>5895</v>
      </c>
      <c r="E21" s="179">
        <v>4190</v>
      </c>
      <c r="F21" s="179">
        <v>1585</v>
      </c>
      <c r="G21" s="179">
        <v>120</v>
      </c>
      <c r="H21" s="180">
        <v>0.71</v>
      </c>
      <c r="I21" s="180">
        <v>0.27</v>
      </c>
      <c r="J21" s="180">
        <v>0.02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5"/>
  <sheetViews>
    <sheetView zoomScale="75" zoomScaleNormal="75" workbookViewId="0"/>
  </sheetViews>
  <sheetFormatPr defaultColWidth="40.54296875" defaultRowHeight="14.5" x14ac:dyDescent="0.35"/>
  <cols>
    <col min="1" max="1" width="37" customWidth="1"/>
    <col min="2" max="2" width="20.54296875" customWidth="1"/>
    <col min="3" max="3" width="19.54296875" customWidth="1"/>
    <col min="4" max="4" width="16.6328125" customWidth="1"/>
    <col min="5" max="5" width="18.54296875" customWidth="1"/>
    <col min="6" max="6" width="23.453125" customWidth="1"/>
    <col min="7" max="7" width="15.08984375" customWidth="1"/>
    <col min="8" max="8" width="22.7265625" customWidth="1"/>
    <col min="9" max="9" width="14.1796875" customWidth="1"/>
    <col min="10" max="10" width="16.1796875" customWidth="1"/>
  </cols>
  <sheetData>
    <row r="1" spans="1:8" ht="45.5" customHeight="1" x14ac:dyDescent="0.35">
      <c r="A1" s="177" t="s">
        <v>328</v>
      </c>
      <c r="B1" s="177" t="s">
        <v>329</v>
      </c>
      <c r="C1" s="177" t="s">
        <v>182</v>
      </c>
      <c r="D1" s="177" t="s">
        <v>187</v>
      </c>
      <c r="E1" s="177" t="s">
        <v>68</v>
      </c>
      <c r="F1" s="177" t="s">
        <v>71</v>
      </c>
      <c r="H1" s="174" t="s">
        <v>330</v>
      </c>
    </row>
    <row r="2" spans="1:8" x14ac:dyDescent="0.35">
      <c r="A2" s="178" t="s">
        <v>188</v>
      </c>
      <c r="B2" s="175">
        <v>20</v>
      </c>
      <c r="C2" s="176">
        <v>0.01</v>
      </c>
      <c r="D2" s="175">
        <v>15</v>
      </c>
      <c r="E2" s="175">
        <v>15</v>
      </c>
      <c r="F2" s="176">
        <v>1</v>
      </c>
      <c r="H2" t="s">
        <v>331</v>
      </c>
    </row>
    <row r="3" spans="1:8" x14ac:dyDescent="0.35">
      <c r="A3" s="178" t="s">
        <v>189</v>
      </c>
      <c r="B3" s="175">
        <v>45</v>
      </c>
      <c r="C3" s="176">
        <v>0.01</v>
      </c>
      <c r="D3" s="175">
        <v>50</v>
      </c>
      <c r="E3" s="175">
        <v>30</v>
      </c>
      <c r="F3" s="176">
        <v>0.63</v>
      </c>
      <c r="H3" t="s">
        <v>332</v>
      </c>
    </row>
    <row r="4" spans="1:8" x14ac:dyDescent="0.35">
      <c r="A4" s="178" t="s">
        <v>190</v>
      </c>
      <c r="B4" s="175">
        <v>15</v>
      </c>
      <c r="C4" s="176">
        <v>0.02</v>
      </c>
      <c r="D4" s="175">
        <v>20</v>
      </c>
      <c r="E4" s="175">
        <v>10</v>
      </c>
      <c r="F4" s="176">
        <v>0.63</v>
      </c>
      <c r="H4" t="s">
        <v>333</v>
      </c>
    </row>
    <row r="5" spans="1:8" x14ac:dyDescent="0.35">
      <c r="A5" s="178" t="s">
        <v>191</v>
      </c>
      <c r="B5" s="175">
        <v>85</v>
      </c>
      <c r="C5" s="176">
        <v>0.01</v>
      </c>
      <c r="D5" s="175">
        <v>80</v>
      </c>
      <c r="E5" s="175">
        <v>55</v>
      </c>
      <c r="F5" s="176">
        <v>0.7</v>
      </c>
      <c r="H5" t="s">
        <v>96</v>
      </c>
    </row>
    <row r="6" spans="1:8" x14ac:dyDescent="0.35">
      <c r="A6" s="178" t="s">
        <v>192</v>
      </c>
      <c r="B6" s="175">
        <v>35</v>
      </c>
      <c r="C6" s="176">
        <v>0.02</v>
      </c>
      <c r="D6" s="175">
        <v>30</v>
      </c>
      <c r="E6" s="175">
        <v>25</v>
      </c>
      <c r="F6" s="176">
        <v>0.83</v>
      </c>
    </row>
    <row r="7" spans="1:8" x14ac:dyDescent="0.35">
      <c r="A7" s="178" t="s">
        <v>193</v>
      </c>
      <c r="B7" s="175">
        <v>60</v>
      </c>
      <c r="C7" s="176">
        <v>0.02</v>
      </c>
      <c r="D7" s="175">
        <v>60</v>
      </c>
      <c r="E7" s="175">
        <v>35</v>
      </c>
      <c r="F7" s="176">
        <v>0.62</v>
      </c>
    </row>
    <row r="8" spans="1:8" x14ac:dyDescent="0.35">
      <c r="A8" s="178" t="s">
        <v>194</v>
      </c>
      <c r="B8" s="175">
        <v>20</v>
      </c>
      <c r="C8" s="176">
        <v>0.02</v>
      </c>
      <c r="D8" s="175">
        <v>15</v>
      </c>
      <c r="E8" s="175">
        <v>10</v>
      </c>
      <c r="F8" s="176">
        <v>0.75</v>
      </c>
    </row>
    <row r="9" spans="1:8" x14ac:dyDescent="0.35">
      <c r="A9" s="178" t="s">
        <v>195</v>
      </c>
      <c r="B9" s="175">
        <v>115</v>
      </c>
      <c r="C9" s="176">
        <v>0.02</v>
      </c>
      <c r="D9" s="175">
        <v>105</v>
      </c>
      <c r="E9" s="175">
        <v>75</v>
      </c>
      <c r="F9" s="176">
        <v>0.7</v>
      </c>
    </row>
    <row r="10" spans="1:8" x14ac:dyDescent="0.35">
      <c r="A10" s="178" t="s">
        <v>196</v>
      </c>
      <c r="B10" s="175">
        <v>55</v>
      </c>
      <c r="C10" s="176">
        <v>0.03</v>
      </c>
      <c r="D10" s="175">
        <v>40</v>
      </c>
      <c r="E10" s="175">
        <v>30</v>
      </c>
      <c r="F10" s="176">
        <v>0.8</v>
      </c>
      <c r="H10" s="43"/>
    </row>
    <row r="11" spans="1:8" x14ac:dyDescent="0.35">
      <c r="A11" s="178" t="s">
        <v>197</v>
      </c>
      <c r="B11" s="175">
        <v>85</v>
      </c>
      <c r="C11" s="176">
        <v>0.03</v>
      </c>
      <c r="D11" s="175">
        <v>95</v>
      </c>
      <c r="E11" s="175">
        <v>70</v>
      </c>
      <c r="F11" s="176">
        <v>0.73</v>
      </c>
    </row>
    <row r="12" spans="1:8" x14ac:dyDescent="0.35">
      <c r="A12" s="178" t="s">
        <v>198</v>
      </c>
      <c r="B12" s="175">
        <v>40</v>
      </c>
      <c r="C12" s="176">
        <v>0.04</v>
      </c>
      <c r="D12" s="175">
        <v>30</v>
      </c>
      <c r="E12" s="175">
        <v>25</v>
      </c>
      <c r="F12" s="176">
        <v>0.72</v>
      </c>
    </row>
    <row r="13" spans="1:8" x14ac:dyDescent="0.35">
      <c r="A13" s="178" t="s">
        <v>199</v>
      </c>
      <c r="B13" s="175">
        <v>180</v>
      </c>
      <c r="C13" s="176">
        <v>0.03</v>
      </c>
      <c r="D13" s="175">
        <v>165</v>
      </c>
      <c r="E13" s="175">
        <v>125</v>
      </c>
      <c r="F13" s="176">
        <v>0.74</v>
      </c>
    </row>
    <row r="14" spans="1:8" x14ac:dyDescent="0.35">
      <c r="A14" s="178" t="s">
        <v>200</v>
      </c>
      <c r="B14" s="175">
        <v>45</v>
      </c>
      <c r="C14" s="176">
        <v>0.02</v>
      </c>
      <c r="D14" s="175">
        <v>35</v>
      </c>
      <c r="E14" s="175">
        <v>25</v>
      </c>
      <c r="F14" s="176">
        <v>0.71</v>
      </c>
    </row>
    <row r="15" spans="1:8" x14ac:dyDescent="0.35">
      <c r="A15" s="178" t="s">
        <v>201</v>
      </c>
      <c r="B15" s="175">
        <v>80</v>
      </c>
      <c r="C15" s="176">
        <v>0.02</v>
      </c>
      <c r="D15" s="175">
        <v>80</v>
      </c>
      <c r="E15" s="175">
        <v>60</v>
      </c>
      <c r="F15" s="176">
        <v>0.73</v>
      </c>
    </row>
    <row r="16" spans="1:8" x14ac:dyDescent="0.35">
      <c r="A16" s="178" t="s">
        <v>202</v>
      </c>
      <c r="B16" s="175">
        <v>25</v>
      </c>
      <c r="C16" s="176">
        <v>0.03</v>
      </c>
      <c r="D16" s="175">
        <v>25</v>
      </c>
      <c r="E16" s="175">
        <v>15</v>
      </c>
      <c r="F16" s="176">
        <v>0.68</v>
      </c>
    </row>
    <row r="17" spans="1:6" x14ac:dyDescent="0.35">
      <c r="A17" s="178" t="s">
        <v>203</v>
      </c>
      <c r="B17" s="175">
        <v>150</v>
      </c>
      <c r="C17" s="176">
        <v>0.02</v>
      </c>
      <c r="D17" s="175">
        <v>140</v>
      </c>
      <c r="E17" s="175">
        <v>100</v>
      </c>
      <c r="F17" s="176">
        <v>0.72</v>
      </c>
    </row>
    <row r="18" spans="1:6" x14ac:dyDescent="0.35">
      <c r="A18" s="178" t="s">
        <v>204</v>
      </c>
      <c r="B18" s="175">
        <v>15</v>
      </c>
      <c r="C18" s="176">
        <v>0.01</v>
      </c>
      <c r="D18" s="175">
        <v>15</v>
      </c>
      <c r="E18" s="175">
        <v>10</v>
      </c>
      <c r="F18" s="176">
        <v>0.79</v>
      </c>
    </row>
    <row r="19" spans="1:6" x14ac:dyDescent="0.35">
      <c r="A19" s="178" t="s">
        <v>205</v>
      </c>
      <c r="B19" s="175">
        <v>35</v>
      </c>
      <c r="C19" s="176">
        <v>0.01</v>
      </c>
      <c r="D19" s="175">
        <v>35</v>
      </c>
      <c r="E19" s="175">
        <v>25</v>
      </c>
      <c r="F19" s="176">
        <v>0.75</v>
      </c>
    </row>
    <row r="20" spans="1:6" x14ac:dyDescent="0.35">
      <c r="A20" s="178" t="s">
        <v>206</v>
      </c>
      <c r="B20" s="175">
        <v>15</v>
      </c>
      <c r="C20" s="176">
        <v>0.01</v>
      </c>
      <c r="D20" s="175">
        <v>15</v>
      </c>
      <c r="E20" s="175">
        <v>10</v>
      </c>
      <c r="F20" s="176">
        <v>0.71</v>
      </c>
    </row>
    <row r="21" spans="1:6" x14ac:dyDescent="0.35">
      <c r="A21" s="178" t="s">
        <v>207</v>
      </c>
      <c r="B21" s="175">
        <v>65</v>
      </c>
      <c r="C21" s="176">
        <v>0.01</v>
      </c>
      <c r="D21" s="175">
        <v>65</v>
      </c>
      <c r="E21" s="175">
        <v>50</v>
      </c>
      <c r="F21" s="176">
        <v>0.75</v>
      </c>
    </row>
    <row r="22" spans="1:6" x14ac:dyDescent="0.35">
      <c r="A22" s="178" t="s">
        <v>208</v>
      </c>
      <c r="B22" s="175">
        <v>65</v>
      </c>
      <c r="C22" s="176">
        <v>0.04</v>
      </c>
      <c r="D22" s="175">
        <v>55</v>
      </c>
      <c r="E22" s="175">
        <v>45</v>
      </c>
      <c r="F22" s="176">
        <v>0.82</v>
      </c>
    </row>
    <row r="23" spans="1:6" x14ac:dyDescent="0.35">
      <c r="A23" s="178" t="s">
        <v>209</v>
      </c>
      <c r="B23" s="175">
        <v>125</v>
      </c>
      <c r="C23" s="176">
        <v>0.04</v>
      </c>
      <c r="D23" s="175">
        <v>125</v>
      </c>
      <c r="E23" s="175">
        <v>70</v>
      </c>
      <c r="F23" s="176">
        <v>0.57999999999999996</v>
      </c>
    </row>
    <row r="24" spans="1:6" x14ac:dyDescent="0.35">
      <c r="A24" s="178" t="s">
        <v>210</v>
      </c>
      <c r="B24" s="175">
        <v>45</v>
      </c>
      <c r="C24" s="176">
        <v>0.04</v>
      </c>
      <c r="D24" s="175">
        <v>45</v>
      </c>
      <c r="E24" s="175">
        <v>25</v>
      </c>
      <c r="F24" s="176">
        <v>0.54</v>
      </c>
    </row>
    <row r="25" spans="1:6" x14ac:dyDescent="0.35">
      <c r="A25" s="178" t="s">
        <v>211</v>
      </c>
      <c r="B25" s="175">
        <v>235</v>
      </c>
      <c r="C25" s="176">
        <v>0.04</v>
      </c>
      <c r="D25" s="175">
        <v>225</v>
      </c>
      <c r="E25" s="175">
        <v>140</v>
      </c>
      <c r="F25" s="176">
        <v>0.63</v>
      </c>
    </row>
    <row r="26" spans="1:6" x14ac:dyDescent="0.35">
      <c r="A26" s="178" t="s">
        <v>212</v>
      </c>
      <c r="B26" s="175">
        <v>65</v>
      </c>
      <c r="C26" s="176">
        <v>0.04</v>
      </c>
      <c r="D26" s="175">
        <v>45</v>
      </c>
      <c r="E26" s="175">
        <v>35</v>
      </c>
      <c r="F26" s="176">
        <v>0.78</v>
      </c>
    </row>
    <row r="27" spans="1:6" x14ac:dyDescent="0.35">
      <c r="A27" s="178" t="s">
        <v>213</v>
      </c>
      <c r="B27" s="175">
        <v>105</v>
      </c>
      <c r="C27" s="176">
        <v>0.03</v>
      </c>
      <c r="D27" s="175">
        <v>120</v>
      </c>
      <c r="E27" s="175">
        <v>80</v>
      </c>
      <c r="F27" s="176">
        <v>0.65</v>
      </c>
    </row>
    <row r="28" spans="1:6" x14ac:dyDescent="0.35">
      <c r="A28" s="178" t="s">
        <v>214</v>
      </c>
      <c r="B28" s="175">
        <v>45</v>
      </c>
      <c r="C28" s="176">
        <v>0.04</v>
      </c>
      <c r="D28" s="175">
        <v>40</v>
      </c>
      <c r="E28" s="175">
        <v>30</v>
      </c>
      <c r="F28" s="176">
        <v>0.78</v>
      </c>
    </row>
    <row r="29" spans="1:6" x14ac:dyDescent="0.35">
      <c r="A29" s="178" t="s">
        <v>215</v>
      </c>
      <c r="B29" s="175">
        <v>215</v>
      </c>
      <c r="C29" s="176">
        <v>0.03</v>
      </c>
      <c r="D29" s="175">
        <v>205</v>
      </c>
      <c r="E29" s="175">
        <v>145</v>
      </c>
      <c r="F29" s="176">
        <v>0.71</v>
      </c>
    </row>
    <row r="30" spans="1:6" x14ac:dyDescent="0.35">
      <c r="A30" s="178" t="s">
        <v>216</v>
      </c>
      <c r="B30" s="175">
        <v>65</v>
      </c>
      <c r="C30" s="176">
        <v>0.04</v>
      </c>
      <c r="D30" s="175">
        <v>55</v>
      </c>
      <c r="E30" s="175">
        <v>45</v>
      </c>
      <c r="F30" s="176">
        <v>0.82</v>
      </c>
    </row>
    <row r="31" spans="1:6" x14ac:dyDescent="0.35">
      <c r="A31" s="178" t="s">
        <v>217</v>
      </c>
      <c r="B31" s="175">
        <v>115</v>
      </c>
      <c r="C31" s="176">
        <v>0.03</v>
      </c>
      <c r="D31" s="175">
        <v>115</v>
      </c>
      <c r="E31" s="175">
        <v>75</v>
      </c>
      <c r="F31" s="176">
        <v>0.66</v>
      </c>
    </row>
    <row r="32" spans="1:6" x14ac:dyDescent="0.35">
      <c r="A32" s="178" t="s">
        <v>218</v>
      </c>
      <c r="B32" s="175">
        <v>40</v>
      </c>
      <c r="C32" s="176">
        <v>0.04</v>
      </c>
      <c r="D32" s="175">
        <v>40</v>
      </c>
      <c r="E32" s="175">
        <v>30</v>
      </c>
      <c r="F32" s="176">
        <v>0.67</v>
      </c>
    </row>
    <row r="33" spans="1:6" x14ac:dyDescent="0.35">
      <c r="A33" s="178" t="s">
        <v>219</v>
      </c>
      <c r="B33" s="175">
        <v>220</v>
      </c>
      <c r="C33" s="176">
        <v>0.04</v>
      </c>
      <c r="D33" s="175">
        <v>215</v>
      </c>
      <c r="E33" s="175">
        <v>150</v>
      </c>
      <c r="F33" s="176">
        <v>0.7</v>
      </c>
    </row>
    <row r="34" spans="1:6" x14ac:dyDescent="0.35">
      <c r="A34" s="178" t="s">
        <v>220</v>
      </c>
      <c r="B34" s="175">
        <v>55</v>
      </c>
      <c r="C34" s="176">
        <v>0.03</v>
      </c>
      <c r="D34" s="175">
        <v>40</v>
      </c>
      <c r="E34" s="175">
        <v>35</v>
      </c>
      <c r="F34" s="176">
        <v>0.83</v>
      </c>
    </row>
    <row r="35" spans="1:6" x14ac:dyDescent="0.35">
      <c r="A35" s="178" t="s">
        <v>221</v>
      </c>
      <c r="B35" s="175">
        <v>90</v>
      </c>
      <c r="C35" s="176">
        <v>0.03</v>
      </c>
      <c r="D35" s="175">
        <v>95</v>
      </c>
      <c r="E35" s="175">
        <v>65</v>
      </c>
      <c r="F35" s="176">
        <v>0.65</v>
      </c>
    </row>
    <row r="36" spans="1:6" x14ac:dyDescent="0.35">
      <c r="A36" s="178" t="s">
        <v>222</v>
      </c>
      <c r="B36" s="175">
        <v>20</v>
      </c>
      <c r="C36" s="176">
        <v>0.02</v>
      </c>
      <c r="D36" s="175">
        <v>15</v>
      </c>
      <c r="E36" s="175">
        <v>15</v>
      </c>
      <c r="F36" s="176">
        <v>0.81</v>
      </c>
    </row>
    <row r="37" spans="1:6" x14ac:dyDescent="0.35">
      <c r="A37" s="178" t="s">
        <v>223</v>
      </c>
      <c r="B37" s="175">
        <v>160</v>
      </c>
      <c r="C37" s="176">
        <v>0.03</v>
      </c>
      <c r="D37" s="175">
        <v>155</v>
      </c>
      <c r="E37" s="175">
        <v>110</v>
      </c>
      <c r="F37" s="176">
        <v>0.72</v>
      </c>
    </row>
    <row r="38" spans="1:6" x14ac:dyDescent="0.35">
      <c r="A38" s="178" t="s">
        <v>224</v>
      </c>
      <c r="B38" s="175">
        <v>20</v>
      </c>
      <c r="C38" s="176">
        <v>0.01</v>
      </c>
      <c r="D38" s="175">
        <v>15</v>
      </c>
      <c r="E38" s="175">
        <v>15</v>
      </c>
      <c r="F38" s="176">
        <v>0.82</v>
      </c>
    </row>
    <row r="39" spans="1:6" x14ac:dyDescent="0.35">
      <c r="A39" s="178" t="s">
        <v>225</v>
      </c>
      <c r="B39" s="175">
        <v>35</v>
      </c>
      <c r="C39" s="176">
        <v>0.01</v>
      </c>
      <c r="D39" s="175">
        <v>35</v>
      </c>
      <c r="E39" s="175">
        <v>25</v>
      </c>
      <c r="F39" s="176">
        <v>0.68</v>
      </c>
    </row>
    <row r="40" spans="1:6" x14ac:dyDescent="0.35">
      <c r="A40" s="178" t="s">
        <v>226</v>
      </c>
      <c r="B40" s="175">
        <v>10</v>
      </c>
      <c r="C40" s="176">
        <v>0.01</v>
      </c>
      <c r="D40" s="175">
        <v>10</v>
      </c>
      <c r="E40" s="175">
        <v>10</v>
      </c>
      <c r="F40" s="176">
        <v>0.83</v>
      </c>
    </row>
    <row r="41" spans="1:6" x14ac:dyDescent="0.35">
      <c r="A41" s="178" t="s">
        <v>227</v>
      </c>
      <c r="B41" s="175">
        <v>70</v>
      </c>
      <c r="C41" s="176">
        <v>0.01</v>
      </c>
      <c r="D41" s="175">
        <v>65</v>
      </c>
      <c r="E41" s="175">
        <v>50</v>
      </c>
      <c r="F41" s="176">
        <v>0.74</v>
      </c>
    </row>
    <row r="42" spans="1:6" x14ac:dyDescent="0.35">
      <c r="A42" s="178" t="s">
        <v>228</v>
      </c>
      <c r="B42" s="175">
        <v>45</v>
      </c>
      <c r="C42" s="176">
        <v>0.03</v>
      </c>
      <c r="D42" s="175">
        <v>40</v>
      </c>
      <c r="E42" s="175">
        <v>35</v>
      </c>
      <c r="F42" s="176">
        <v>0.9</v>
      </c>
    </row>
    <row r="43" spans="1:6" x14ac:dyDescent="0.35">
      <c r="A43" s="178" t="s">
        <v>229</v>
      </c>
      <c r="B43" s="175">
        <v>75</v>
      </c>
      <c r="C43" s="176">
        <v>0.02</v>
      </c>
      <c r="D43" s="175">
        <v>70</v>
      </c>
      <c r="E43" s="175">
        <v>50</v>
      </c>
      <c r="F43" s="176">
        <v>0.68</v>
      </c>
    </row>
    <row r="44" spans="1:6" x14ac:dyDescent="0.35">
      <c r="A44" s="178" t="s">
        <v>230</v>
      </c>
      <c r="B44" s="175">
        <v>15</v>
      </c>
      <c r="C44" s="176">
        <v>0.01</v>
      </c>
      <c r="D44" s="175">
        <v>20</v>
      </c>
      <c r="E44" s="175">
        <v>15</v>
      </c>
      <c r="F44" s="176">
        <v>0.74</v>
      </c>
    </row>
    <row r="45" spans="1:6" x14ac:dyDescent="0.35">
      <c r="A45" s="178" t="s">
        <v>231</v>
      </c>
      <c r="B45" s="175">
        <v>135</v>
      </c>
      <c r="C45" s="176">
        <v>0.02</v>
      </c>
      <c r="D45" s="175">
        <v>130</v>
      </c>
      <c r="E45" s="175">
        <v>100</v>
      </c>
      <c r="F45" s="176">
        <v>0.75</v>
      </c>
    </row>
    <row r="46" spans="1:6" x14ac:dyDescent="0.35">
      <c r="A46" s="178" t="s">
        <v>232</v>
      </c>
      <c r="B46" s="175">
        <v>70</v>
      </c>
      <c r="C46" s="176">
        <v>0.04</v>
      </c>
      <c r="D46" s="175">
        <v>50</v>
      </c>
      <c r="E46" s="175">
        <v>40</v>
      </c>
      <c r="F46" s="176">
        <v>0.8</v>
      </c>
    </row>
    <row r="47" spans="1:6" x14ac:dyDescent="0.35">
      <c r="A47" s="178" t="s">
        <v>233</v>
      </c>
      <c r="B47" s="175">
        <v>125</v>
      </c>
      <c r="C47" s="176">
        <v>0.04</v>
      </c>
      <c r="D47" s="175">
        <v>135</v>
      </c>
      <c r="E47" s="175">
        <v>85</v>
      </c>
      <c r="F47" s="176">
        <v>0.64</v>
      </c>
    </row>
    <row r="48" spans="1:6" x14ac:dyDescent="0.35">
      <c r="A48" s="178" t="s">
        <v>234</v>
      </c>
      <c r="B48" s="175">
        <v>40</v>
      </c>
      <c r="C48" s="176">
        <v>0.04</v>
      </c>
      <c r="D48" s="175">
        <v>30</v>
      </c>
      <c r="E48" s="175">
        <v>20</v>
      </c>
      <c r="F48" s="176">
        <v>0.72</v>
      </c>
    </row>
    <row r="49" spans="1:6" x14ac:dyDescent="0.35">
      <c r="A49" s="178" t="s">
        <v>235</v>
      </c>
      <c r="B49" s="175">
        <v>230</v>
      </c>
      <c r="C49" s="176">
        <v>0.04</v>
      </c>
      <c r="D49" s="175">
        <v>215</v>
      </c>
      <c r="E49" s="175">
        <v>150</v>
      </c>
      <c r="F49" s="176">
        <v>0.69</v>
      </c>
    </row>
    <row r="50" spans="1:6" x14ac:dyDescent="0.35">
      <c r="A50" s="178" t="s">
        <v>236</v>
      </c>
      <c r="B50" s="175">
        <v>50</v>
      </c>
      <c r="C50" s="176">
        <v>0.03</v>
      </c>
      <c r="D50" s="175">
        <v>45</v>
      </c>
      <c r="E50" s="175">
        <v>40</v>
      </c>
      <c r="F50" s="176">
        <v>0.89</v>
      </c>
    </row>
    <row r="51" spans="1:6" x14ac:dyDescent="0.35">
      <c r="A51" s="178" t="s">
        <v>237</v>
      </c>
      <c r="B51" s="175">
        <v>95</v>
      </c>
      <c r="C51" s="176">
        <v>0.03</v>
      </c>
      <c r="D51" s="175">
        <v>90</v>
      </c>
      <c r="E51" s="175">
        <v>60</v>
      </c>
      <c r="F51" s="176">
        <v>0.68</v>
      </c>
    </row>
    <row r="52" spans="1:6" x14ac:dyDescent="0.35">
      <c r="A52" s="178" t="s">
        <v>238</v>
      </c>
      <c r="B52" s="175">
        <v>30</v>
      </c>
      <c r="C52" s="176">
        <v>0.03</v>
      </c>
      <c r="D52" s="175">
        <v>35</v>
      </c>
      <c r="E52" s="175">
        <v>25</v>
      </c>
      <c r="F52" s="176">
        <v>0.82</v>
      </c>
    </row>
    <row r="53" spans="1:6" x14ac:dyDescent="0.35">
      <c r="A53" s="178" t="s">
        <v>239</v>
      </c>
      <c r="B53" s="175">
        <v>175</v>
      </c>
      <c r="C53" s="176">
        <v>0.03</v>
      </c>
      <c r="D53" s="175">
        <v>165</v>
      </c>
      <c r="E53" s="175">
        <v>125</v>
      </c>
      <c r="F53" s="176">
        <v>0.76</v>
      </c>
    </row>
    <row r="54" spans="1:6" x14ac:dyDescent="0.35">
      <c r="A54" s="178" t="s">
        <v>240</v>
      </c>
      <c r="B54" s="175">
        <v>110</v>
      </c>
      <c r="C54" s="176">
        <v>0.06</v>
      </c>
      <c r="D54" s="175">
        <v>85</v>
      </c>
      <c r="E54" s="175">
        <v>70</v>
      </c>
      <c r="F54" s="176">
        <v>0.81</v>
      </c>
    </row>
    <row r="55" spans="1:6" x14ac:dyDescent="0.35">
      <c r="A55" s="178" t="s">
        <v>241</v>
      </c>
      <c r="B55" s="175">
        <v>225</v>
      </c>
      <c r="C55" s="176">
        <v>7.0000000000000007E-2</v>
      </c>
      <c r="D55" s="175">
        <v>230</v>
      </c>
      <c r="E55" s="175">
        <v>155</v>
      </c>
      <c r="F55" s="176">
        <v>0.67</v>
      </c>
    </row>
    <row r="56" spans="1:6" x14ac:dyDescent="0.35">
      <c r="A56" s="178" t="s">
        <v>242</v>
      </c>
      <c r="B56" s="175">
        <v>95</v>
      </c>
      <c r="C56" s="176">
        <v>0.09</v>
      </c>
      <c r="D56" s="175">
        <v>90</v>
      </c>
      <c r="E56" s="175">
        <v>65</v>
      </c>
      <c r="F56" s="176">
        <v>0.7</v>
      </c>
    </row>
    <row r="57" spans="1:6" x14ac:dyDescent="0.35">
      <c r="A57" s="178" t="s">
        <v>243</v>
      </c>
      <c r="B57" s="175">
        <v>430</v>
      </c>
      <c r="C57" s="176">
        <v>7.0000000000000007E-2</v>
      </c>
      <c r="D57" s="175">
        <v>405</v>
      </c>
      <c r="E57" s="175">
        <v>285</v>
      </c>
      <c r="F57" s="176">
        <v>0.7</v>
      </c>
    </row>
    <row r="58" spans="1:6" x14ac:dyDescent="0.35">
      <c r="A58" s="178" t="s">
        <v>244</v>
      </c>
      <c r="B58" s="175">
        <v>235</v>
      </c>
      <c r="C58" s="176">
        <v>0.13</v>
      </c>
      <c r="D58" s="175">
        <v>185</v>
      </c>
      <c r="E58" s="175">
        <v>155</v>
      </c>
      <c r="F58" s="176">
        <v>0.85</v>
      </c>
    </row>
    <row r="59" spans="1:6" x14ac:dyDescent="0.35">
      <c r="A59" s="178" t="s">
        <v>245</v>
      </c>
      <c r="B59" s="175">
        <v>515</v>
      </c>
      <c r="C59" s="176">
        <v>0.15</v>
      </c>
      <c r="D59" s="175">
        <v>525</v>
      </c>
      <c r="E59" s="175">
        <v>340</v>
      </c>
      <c r="F59" s="176">
        <v>0.64</v>
      </c>
    </row>
    <row r="60" spans="1:6" x14ac:dyDescent="0.35">
      <c r="A60" s="178" t="s">
        <v>246</v>
      </c>
      <c r="B60" s="175">
        <v>150</v>
      </c>
      <c r="C60" s="176">
        <v>0.14000000000000001</v>
      </c>
      <c r="D60" s="175">
        <v>140</v>
      </c>
      <c r="E60" s="175">
        <v>100</v>
      </c>
      <c r="F60" s="176">
        <v>0.72</v>
      </c>
    </row>
    <row r="61" spans="1:6" x14ac:dyDescent="0.35">
      <c r="A61" s="178" t="s">
        <v>247</v>
      </c>
      <c r="B61" s="175">
        <v>895</v>
      </c>
      <c r="C61" s="176">
        <v>0.14000000000000001</v>
      </c>
      <c r="D61" s="175">
        <v>850</v>
      </c>
      <c r="E61" s="175">
        <v>595</v>
      </c>
      <c r="F61" s="176">
        <v>0.7</v>
      </c>
    </row>
    <row r="62" spans="1:6" x14ac:dyDescent="0.35">
      <c r="A62" s="178" t="s">
        <v>248</v>
      </c>
      <c r="B62" s="175">
        <v>60</v>
      </c>
      <c r="C62" s="176">
        <v>0.03</v>
      </c>
      <c r="D62" s="175">
        <v>50</v>
      </c>
      <c r="E62" s="175">
        <v>45</v>
      </c>
      <c r="F62" s="176">
        <v>0.9</v>
      </c>
    </row>
    <row r="63" spans="1:6" x14ac:dyDescent="0.35">
      <c r="A63" s="178" t="s">
        <v>249</v>
      </c>
      <c r="B63" s="175">
        <v>125</v>
      </c>
      <c r="C63" s="176">
        <v>0.04</v>
      </c>
      <c r="D63" s="175">
        <v>135</v>
      </c>
      <c r="E63" s="175">
        <v>90</v>
      </c>
      <c r="F63" s="176">
        <v>0.68</v>
      </c>
    </row>
    <row r="64" spans="1:6" x14ac:dyDescent="0.35">
      <c r="A64" s="178" t="s">
        <v>250</v>
      </c>
      <c r="B64" s="175">
        <v>40</v>
      </c>
      <c r="C64" s="176">
        <v>0.04</v>
      </c>
      <c r="D64" s="175">
        <v>35</v>
      </c>
      <c r="E64" s="175">
        <v>20</v>
      </c>
      <c r="F64" s="176">
        <v>0.6</v>
      </c>
    </row>
    <row r="65" spans="1:6" x14ac:dyDescent="0.35">
      <c r="A65" s="178" t="s">
        <v>251</v>
      </c>
      <c r="B65" s="175">
        <v>220</v>
      </c>
      <c r="C65" s="176">
        <v>0.04</v>
      </c>
      <c r="D65" s="175">
        <v>215</v>
      </c>
      <c r="E65" s="175">
        <v>155</v>
      </c>
      <c r="F65" s="176">
        <v>0.72</v>
      </c>
    </row>
    <row r="66" spans="1:6" x14ac:dyDescent="0.35">
      <c r="A66" s="178" t="s">
        <v>252</v>
      </c>
      <c r="B66" s="175">
        <v>60</v>
      </c>
      <c r="C66" s="176">
        <v>0.03</v>
      </c>
      <c r="D66" s="175">
        <v>55</v>
      </c>
      <c r="E66" s="175">
        <v>50</v>
      </c>
      <c r="F66" s="176">
        <v>0.93</v>
      </c>
    </row>
    <row r="67" spans="1:6" x14ac:dyDescent="0.35">
      <c r="A67" s="178" t="s">
        <v>253</v>
      </c>
      <c r="B67" s="175">
        <v>110</v>
      </c>
      <c r="C67" s="176">
        <v>0.03</v>
      </c>
      <c r="D67" s="175">
        <v>110</v>
      </c>
      <c r="E67" s="175">
        <v>80</v>
      </c>
      <c r="F67" s="176">
        <v>0.71</v>
      </c>
    </row>
    <row r="68" spans="1:6" x14ac:dyDescent="0.35">
      <c r="A68" s="178" t="s">
        <v>254</v>
      </c>
      <c r="B68" s="175">
        <v>40</v>
      </c>
      <c r="C68" s="176">
        <v>0.04</v>
      </c>
      <c r="D68" s="175">
        <v>30</v>
      </c>
      <c r="E68" s="175">
        <v>20</v>
      </c>
      <c r="F68" s="176">
        <v>0.68</v>
      </c>
    </row>
    <row r="69" spans="1:6" x14ac:dyDescent="0.35">
      <c r="A69" s="178" t="s">
        <v>255</v>
      </c>
      <c r="B69" s="175">
        <v>215</v>
      </c>
      <c r="C69" s="176">
        <v>0.03</v>
      </c>
      <c r="D69" s="175">
        <v>195</v>
      </c>
      <c r="E69" s="175">
        <v>150</v>
      </c>
      <c r="F69" s="176">
        <v>0.76</v>
      </c>
    </row>
    <row r="70" spans="1:6" x14ac:dyDescent="0.35">
      <c r="A70" s="178" t="s">
        <v>256</v>
      </c>
      <c r="B70" s="175">
        <v>25</v>
      </c>
      <c r="C70" s="176">
        <v>0.02</v>
      </c>
      <c r="D70" s="175">
        <v>25</v>
      </c>
      <c r="E70" s="175">
        <v>20</v>
      </c>
      <c r="F70" s="176">
        <v>0.83</v>
      </c>
    </row>
    <row r="71" spans="1:6" x14ac:dyDescent="0.35">
      <c r="A71" s="178" t="s">
        <v>257</v>
      </c>
      <c r="B71" s="175">
        <v>60</v>
      </c>
      <c r="C71" s="176">
        <v>0.02</v>
      </c>
      <c r="D71" s="175">
        <v>65</v>
      </c>
      <c r="E71" s="175">
        <v>40</v>
      </c>
      <c r="F71" s="176">
        <v>0.62</v>
      </c>
    </row>
    <row r="72" spans="1:6" x14ac:dyDescent="0.35">
      <c r="A72" s="178" t="s">
        <v>258</v>
      </c>
      <c r="B72" s="175">
        <v>15</v>
      </c>
      <c r="C72" s="176">
        <v>0.01</v>
      </c>
      <c r="D72" s="175">
        <v>10</v>
      </c>
      <c r="E72" s="175">
        <v>5</v>
      </c>
      <c r="F72" s="176">
        <v>0.7</v>
      </c>
    </row>
    <row r="73" spans="1:6" x14ac:dyDescent="0.35">
      <c r="A73" s="178" t="s">
        <v>259</v>
      </c>
      <c r="B73" s="175">
        <v>100</v>
      </c>
      <c r="C73" s="176">
        <v>0.02</v>
      </c>
      <c r="D73" s="175">
        <v>95</v>
      </c>
      <c r="E73" s="175">
        <v>65</v>
      </c>
      <c r="F73" s="176">
        <v>0.68</v>
      </c>
    </row>
    <row r="74" spans="1:6" x14ac:dyDescent="0.35">
      <c r="A74" s="178" t="s">
        <v>260</v>
      </c>
      <c r="B74" s="175">
        <v>15</v>
      </c>
      <c r="C74" s="176">
        <v>0.01</v>
      </c>
      <c r="D74" s="175">
        <v>15</v>
      </c>
      <c r="E74" s="175">
        <v>10</v>
      </c>
      <c r="F74" s="176">
        <v>0.85</v>
      </c>
    </row>
    <row r="75" spans="1:6" x14ac:dyDescent="0.35">
      <c r="A75" s="178" t="s">
        <v>261</v>
      </c>
      <c r="B75" s="175">
        <v>35</v>
      </c>
      <c r="C75" s="176">
        <v>0.01</v>
      </c>
      <c r="D75" s="175">
        <v>35</v>
      </c>
      <c r="E75" s="175">
        <v>25</v>
      </c>
      <c r="F75" s="176">
        <v>0.7</v>
      </c>
    </row>
    <row r="76" spans="1:6" x14ac:dyDescent="0.35">
      <c r="A76" s="178" t="s">
        <v>262</v>
      </c>
      <c r="B76" s="175">
        <v>10</v>
      </c>
      <c r="C76" s="176">
        <v>0.01</v>
      </c>
      <c r="D76" s="175">
        <v>10</v>
      </c>
      <c r="E76" s="175">
        <v>10</v>
      </c>
      <c r="F76" s="176">
        <v>0.73</v>
      </c>
    </row>
    <row r="77" spans="1:6" x14ac:dyDescent="0.35">
      <c r="A77" s="178" t="s">
        <v>263</v>
      </c>
      <c r="B77" s="175">
        <v>65</v>
      </c>
      <c r="C77" s="176">
        <v>0.01</v>
      </c>
      <c r="D77" s="175">
        <v>60</v>
      </c>
      <c r="E77" s="175">
        <v>45</v>
      </c>
      <c r="F77" s="176">
        <v>0.74</v>
      </c>
    </row>
    <row r="78" spans="1:6" x14ac:dyDescent="0.35">
      <c r="A78" s="178" t="s">
        <v>264</v>
      </c>
      <c r="B78" s="175">
        <v>10</v>
      </c>
      <c r="C78" s="176">
        <v>0.01</v>
      </c>
      <c r="D78" s="175">
        <v>5</v>
      </c>
      <c r="E78" s="175">
        <v>5</v>
      </c>
      <c r="F78" s="176">
        <v>0.83</v>
      </c>
    </row>
    <row r="79" spans="1:6" x14ac:dyDescent="0.35">
      <c r="A79" s="178" t="s">
        <v>265</v>
      </c>
      <c r="B79" s="175">
        <v>15</v>
      </c>
      <c r="C79" s="176">
        <v>0</v>
      </c>
      <c r="D79" s="175">
        <v>15</v>
      </c>
      <c r="E79" s="175">
        <v>10</v>
      </c>
      <c r="F79" s="176">
        <v>0.56000000000000005</v>
      </c>
    </row>
    <row r="80" spans="1:6" x14ac:dyDescent="0.35">
      <c r="A80" s="178" t="s">
        <v>266</v>
      </c>
      <c r="B80" s="175">
        <v>5</v>
      </c>
      <c r="C80" s="176">
        <v>0</v>
      </c>
      <c r="D80" s="175">
        <v>5</v>
      </c>
      <c r="E80" s="175">
        <v>5</v>
      </c>
      <c r="F80" s="176">
        <v>1</v>
      </c>
    </row>
    <row r="81" spans="1:6" x14ac:dyDescent="0.35">
      <c r="A81" s="178" t="s">
        <v>267</v>
      </c>
      <c r="B81" s="175">
        <v>25</v>
      </c>
      <c r="C81" s="176">
        <v>0</v>
      </c>
      <c r="D81" s="175">
        <v>25</v>
      </c>
      <c r="E81" s="175">
        <v>15</v>
      </c>
      <c r="F81" s="176">
        <v>0.68</v>
      </c>
    </row>
    <row r="82" spans="1:6" x14ac:dyDescent="0.35">
      <c r="A82" s="178" t="s">
        <v>268</v>
      </c>
      <c r="B82" s="175">
        <v>5</v>
      </c>
      <c r="C82" s="176">
        <v>0</v>
      </c>
      <c r="D82" s="175">
        <v>5</v>
      </c>
      <c r="E82" s="175" t="s">
        <v>164</v>
      </c>
      <c r="F82" s="176" t="s">
        <v>164</v>
      </c>
    </row>
    <row r="83" spans="1:6" x14ac:dyDescent="0.35">
      <c r="A83" s="178" t="s">
        <v>269</v>
      </c>
      <c r="B83" s="175">
        <v>10</v>
      </c>
      <c r="C83" s="176">
        <v>0</v>
      </c>
      <c r="D83" s="175">
        <v>10</v>
      </c>
      <c r="E83" s="175">
        <v>0</v>
      </c>
      <c r="F83" s="176">
        <v>0</v>
      </c>
    </row>
    <row r="84" spans="1:6" x14ac:dyDescent="0.35">
      <c r="A84" s="178" t="s">
        <v>270</v>
      </c>
      <c r="B84" s="175" t="s">
        <v>164</v>
      </c>
      <c r="C84" s="176" t="s">
        <v>164</v>
      </c>
      <c r="D84" s="175">
        <v>0</v>
      </c>
      <c r="E84" s="175">
        <v>0</v>
      </c>
      <c r="F84" s="176">
        <v>0</v>
      </c>
    </row>
    <row r="85" spans="1:6" x14ac:dyDescent="0.35">
      <c r="A85" s="178" t="s">
        <v>271</v>
      </c>
      <c r="B85" s="175">
        <v>20</v>
      </c>
      <c r="C85" s="176">
        <v>0</v>
      </c>
      <c r="D85" s="175">
        <v>15</v>
      </c>
      <c r="E85" s="175" t="s">
        <v>164</v>
      </c>
      <c r="F85" s="176" t="s">
        <v>164</v>
      </c>
    </row>
    <row r="86" spans="1:6" x14ac:dyDescent="0.35">
      <c r="A86" s="178" t="s">
        <v>272</v>
      </c>
      <c r="B86" s="175">
        <v>5</v>
      </c>
      <c r="C86" s="176">
        <v>0</v>
      </c>
      <c r="D86" s="175">
        <v>5</v>
      </c>
      <c r="E86" s="175">
        <v>0</v>
      </c>
      <c r="F86" s="176">
        <v>0</v>
      </c>
    </row>
    <row r="87" spans="1:6" x14ac:dyDescent="0.35">
      <c r="A87" s="178" t="s">
        <v>273</v>
      </c>
      <c r="B87" s="175">
        <v>5</v>
      </c>
      <c r="C87" s="176">
        <v>0</v>
      </c>
      <c r="D87" s="175">
        <v>5</v>
      </c>
      <c r="E87" s="175" t="s">
        <v>164</v>
      </c>
      <c r="F87" s="176" t="s">
        <v>164</v>
      </c>
    </row>
    <row r="88" spans="1:6" x14ac:dyDescent="0.35">
      <c r="A88" s="178" t="s">
        <v>274</v>
      </c>
      <c r="B88" s="175" t="s">
        <v>164</v>
      </c>
      <c r="C88" s="176" t="s">
        <v>164</v>
      </c>
      <c r="D88" s="175" t="s">
        <v>164</v>
      </c>
      <c r="E88" s="175" t="s">
        <v>164</v>
      </c>
      <c r="F88" s="176" t="s">
        <v>164</v>
      </c>
    </row>
    <row r="89" spans="1:6" x14ac:dyDescent="0.35">
      <c r="A89" s="178" t="s">
        <v>275</v>
      </c>
      <c r="B89" s="175">
        <v>10</v>
      </c>
      <c r="C89" s="176">
        <v>0</v>
      </c>
      <c r="D89" s="175">
        <v>10</v>
      </c>
      <c r="E89" s="175" t="s">
        <v>164</v>
      </c>
      <c r="F89" s="176" t="s">
        <v>164</v>
      </c>
    </row>
    <row r="90" spans="1:6" x14ac:dyDescent="0.35">
      <c r="A90" s="178" t="s">
        <v>276</v>
      </c>
      <c r="B90" s="175">
        <v>75</v>
      </c>
      <c r="C90" s="176">
        <v>0.04</v>
      </c>
      <c r="D90" s="175">
        <v>60</v>
      </c>
      <c r="E90" s="175">
        <v>50</v>
      </c>
      <c r="F90" s="176">
        <v>0.81</v>
      </c>
    </row>
    <row r="91" spans="1:6" x14ac:dyDescent="0.35">
      <c r="A91" s="178" t="s">
        <v>277</v>
      </c>
      <c r="B91" s="175">
        <v>125</v>
      </c>
      <c r="C91" s="176">
        <v>0.04</v>
      </c>
      <c r="D91" s="175">
        <v>125</v>
      </c>
      <c r="E91" s="175">
        <v>90</v>
      </c>
      <c r="F91" s="176">
        <v>0.7</v>
      </c>
    </row>
    <row r="92" spans="1:6" x14ac:dyDescent="0.35">
      <c r="A92" s="178" t="s">
        <v>278</v>
      </c>
      <c r="B92" s="175">
        <v>30</v>
      </c>
      <c r="C92" s="176">
        <v>0.03</v>
      </c>
      <c r="D92" s="175">
        <v>35</v>
      </c>
      <c r="E92" s="175">
        <v>25</v>
      </c>
      <c r="F92" s="176">
        <v>0.64</v>
      </c>
    </row>
    <row r="93" spans="1:6" x14ac:dyDescent="0.35">
      <c r="A93" s="178" t="s">
        <v>279</v>
      </c>
      <c r="B93" s="175">
        <v>230</v>
      </c>
      <c r="C93" s="176">
        <v>0.04</v>
      </c>
      <c r="D93" s="175">
        <v>225</v>
      </c>
      <c r="E93" s="175">
        <v>160</v>
      </c>
      <c r="F93" s="176">
        <v>0.72</v>
      </c>
    </row>
    <row r="94" spans="1:6" x14ac:dyDescent="0.35">
      <c r="A94" s="178" t="s">
        <v>280</v>
      </c>
      <c r="B94" s="175">
        <v>135</v>
      </c>
      <c r="C94" s="176">
        <v>0.08</v>
      </c>
      <c r="D94" s="175">
        <v>105</v>
      </c>
      <c r="E94" s="175">
        <v>95</v>
      </c>
      <c r="F94" s="176">
        <v>0.9</v>
      </c>
    </row>
    <row r="95" spans="1:6" x14ac:dyDescent="0.35">
      <c r="A95" s="178" t="s">
        <v>281</v>
      </c>
      <c r="B95" s="175">
        <v>275</v>
      </c>
      <c r="C95" s="176">
        <v>0.08</v>
      </c>
      <c r="D95" s="175">
        <v>275</v>
      </c>
      <c r="E95" s="175">
        <v>185</v>
      </c>
      <c r="F95" s="176">
        <v>0.67</v>
      </c>
    </row>
    <row r="96" spans="1:6" x14ac:dyDescent="0.35">
      <c r="A96" s="178" t="s">
        <v>282</v>
      </c>
      <c r="B96" s="175">
        <v>90</v>
      </c>
      <c r="C96" s="176">
        <v>0.09</v>
      </c>
      <c r="D96" s="175">
        <v>85</v>
      </c>
      <c r="E96" s="175">
        <v>60</v>
      </c>
      <c r="F96" s="176">
        <v>0.71</v>
      </c>
    </row>
    <row r="97" spans="1:6" x14ac:dyDescent="0.35">
      <c r="A97" s="178" t="s">
        <v>283</v>
      </c>
      <c r="B97" s="175">
        <v>500</v>
      </c>
      <c r="C97" s="176">
        <v>0.08</v>
      </c>
      <c r="D97" s="175">
        <v>465</v>
      </c>
      <c r="E97" s="175">
        <v>340</v>
      </c>
      <c r="F97" s="176">
        <v>0.73</v>
      </c>
    </row>
    <row r="98" spans="1:6" x14ac:dyDescent="0.35">
      <c r="A98" s="178" t="s">
        <v>284</v>
      </c>
      <c r="B98" s="175" t="s">
        <v>164</v>
      </c>
      <c r="C98" s="176" t="s">
        <v>164</v>
      </c>
      <c r="D98" s="175">
        <v>0</v>
      </c>
      <c r="E98" s="175">
        <v>0</v>
      </c>
      <c r="F98" s="175">
        <v>0</v>
      </c>
    </row>
    <row r="99" spans="1:6" x14ac:dyDescent="0.35">
      <c r="A99" s="178" t="s">
        <v>285</v>
      </c>
      <c r="B99" s="175">
        <v>5</v>
      </c>
      <c r="C99" s="176">
        <v>0</v>
      </c>
      <c r="D99" s="175">
        <v>5</v>
      </c>
      <c r="E99" s="175">
        <v>5</v>
      </c>
      <c r="F99" s="176" t="s">
        <v>164</v>
      </c>
    </row>
    <row r="100" spans="1:6" x14ac:dyDescent="0.35">
      <c r="A100" s="178" t="s">
        <v>286</v>
      </c>
      <c r="B100" s="175" t="s">
        <v>164</v>
      </c>
      <c r="C100" s="176" t="s">
        <v>164</v>
      </c>
      <c r="D100" s="175" t="s">
        <v>164</v>
      </c>
      <c r="E100" s="175" t="s">
        <v>164</v>
      </c>
      <c r="F100" s="176" t="s">
        <v>164</v>
      </c>
    </row>
    <row r="101" spans="1:6" x14ac:dyDescent="0.35">
      <c r="A101" s="178" t="s">
        <v>287</v>
      </c>
      <c r="B101" s="175">
        <v>5</v>
      </c>
      <c r="C101" s="176">
        <v>0</v>
      </c>
      <c r="D101" s="175">
        <v>5</v>
      </c>
      <c r="E101" s="175">
        <v>5</v>
      </c>
      <c r="F101" s="176" t="s">
        <v>164</v>
      </c>
    </row>
    <row r="102" spans="1:6" x14ac:dyDescent="0.35">
      <c r="A102" s="178" t="s">
        <v>288</v>
      </c>
      <c r="B102" s="175">
        <v>50</v>
      </c>
      <c r="C102" s="176">
        <v>0.03</v>
      </c>
      <c r="D102" s="175">
        <v>40</v>
      </c>
      <c r="E102" s="175">
        <v>30</v>
      </c>
      <c r="F102" s="176">
        <v>0.76</v>
      </c>
    </row>
    <row r="103" spans="1:6" x14ac:dyDescent="0.35">
      <c r="A103" s="178" t="s">
        <v>289</v>
      </c>
      <c r="B103" s="175">
        <v>110</v>
      </c>
      <c r="C103" s="176">
        <v>0.03</v>
      </c>
      <c r="D103" s="175">
        <v>110</v>
      </c>
      <c r="E103" s="175">
        <v>80</v>
      </c>
      <c r="F103" s="176">
        <v>0.7</v>
      </c>
    </row>
    <row r="104" spans="1:6" x14ac:dyDescent="0.35">
      <c r="A104" s="178" t="s">
        <v>290</v>
      </c>
      <c r="B104" s="175">
        <v>35</v>
      </c>
      <c r="C104" s="176">
        <v>0.03</v>
      </c>
      <c r="D104" s="175">
        <v>30</v>
      </c>
      <c r="E104" s="175">
        <v>15</v>
      </c>
      <c r="F104" s="176">
        <v>0.56999999999999995</v>
      </c>
    </row>
    <row r="105" spans="1:6" x14ac:dyDescent="0.35">
      <c r="A105" s="178" t="s">
        <v>291</v>
      </c>
      <c r="B105" s="175">
        <v>195</v>
      </c>
      <c r="C105" s="176">
        <v>0.03</v>
      </c>
      <c r="D105" s="175">
        <v>180</v>
      </c>
      <c r="E105" s="175">
        <v>125</v>
      </c>
      <c r="F105" s="176">
        <v>0.7</v>
      </c>
    </row>
    <row r="106" spans="1:6" x14ac:dyDescent="0.35">
      <c r="A106" s="178" t="s">
        <v>292</v>
      </c>
      <c r="B106" s="175">
        <v>80</v>
      </c>
      <c r="C106" s="176">
        <v>0.04</v>
      </c>
      <c r="D106" s="175">
        <v>60</v>
      </c>
      <c r="E106" s="175">
        <v>60</v>
      </c>
      <c r="F106" s="176">
        <v>0.94</v>
      </c>
    </row>
    <row r="107" spans="1:6" x14ac:dyDescent="0.35">
      <c r="A107" s="178" t="s">
        <v>293</v>
      </c>
      <c r="B107" s="175">
        <v>115</v>
      </c>
      <c r="C107" s="176">
        <v>0.03</v>
      </c>
      <c r="D107" s="175">
        <v>125</v>
      </c>
      <c r="E107" s="175">
        <v>80</v>
      </c>
      <c r="F107" s="176">
        <v>0.66</v>
      </c>
    </row>
    <row r="108" spans="1:6" x14ac:dyDescent="0.35">
      <c r="A108" s="178" t="s">
        <v>294</v>
      </c>
      <c r="B108" s="175">
        <v>35</v>
      </c>
      <c r="C108" s="176">
        <v>0.03</v>
      </c>
      <c r="D108" s="175">
        <v>40</v>
      </c>
      <c r="E108" s="175">
        <v>30</v>
      </c>
      <c r="F108" s="176">
        <v>0.76</v>
      </c>
    </row>
    <row r="109" spans="1:6" x14ac:dyDescent="0.35">
      <c r="A109" s="178" t="s">
        <v>295</v>
      </c>
      <c r="B109" s="175">
        <v>230</v>
      </c>
      <c r="C109" s="176">
        <v>0.04</v>
      </c>
      <c r="D109" s="175">
        <v>225</v>
      </c>
      <c r="E109" s="175">
        <v>170</v>
      </c>
      <c r="F109" s="176">
        <v>0.75</v>
      </c>
    </row>
    <row r="110" spans="1:6" x14ac:dyDescent="0.35">
      <c r="A110" s="178" t="s">
        <v>296</v>
      </c>
      <c r="B110" s="175">
        <v>20</v>
      </c>
      <c r="C110" s="176">
        <v>0.01</v>
      </c>
      <c r="D110" s="175">
        <v>20</v>
      </c>
      <c r="E110" s="175">
        <v>20</v>
      </c>
      <c r="F110" s="176">
        <v>0.95</v>
      </c>
    </row>
    <row r="111" spans="1:6" x14ac:dyDescent="0.35">
      <c r="A111" s="178" t="s">
        <v>297</v>
      </c>
      <c r="B111" s="175">
        <v>40</v>
      </c>
      <c r="C111" s="176">
        <v>0.01</v>
      </c>
      <c r="D111" s="175">
        <v>40</v>
      </c>
      <c r="E111" s="175">
        <v>30</v>
      </c>
      <c r="F111" s="176">
        <v>0.67</v>
      </c>
    </row>
    <row r="112" spans="1:6" x14ac:dyDescent="0.35">
      <c r="A112" s="178" t="s">
        <v>298</v>
      </c>
      <c r="B112" s="175">
        <v>10</v>
      </c>
      <c r="C112" s="176">
        <v>0.01</v>
      </c>
      <c r="D112" s="175">
        <v>5</v>
      </c>
      <c r="E112" s="175">
        <v>5</v>
      </c>
      <c r="F112" s="176">
        <v>0.43</v>
      </c>
    </row>
    <row r="113" spans="1:6" x14ac:dyDescent="0.35">
      <c r="A113" s="178" t="s">
        <v>299</v>
      </c>
      <c r="B113" s="175">
        <v>75</v>
      </c>
      <c r="C113" s="176">
        <v>0.01</v>
      </c>
      <c r="D113" s="175">
        <v>70</v>
      </c>
      <c r="E113" s="175">
        <v>50</v>
      </c>
      <c r="F113" s="176">
        <v>0.72</v>
      </c>
    </row>
    <row r="114" spans="1:6" x14ac:dyDescent="0.35">
      <c r="A114" s="178" t="s">
        <v>300</v>
      </c>
      <c r="B114" s="175">
        <v>5</v>
      </c>
      <c r="C114" s="176">
        <v>0</v>
      </c>
      <c r="D114" s="175">
        <v>5</v>
      </c>
      <c r="E114" s="175">
        <v>5</v>
      </c>
      <c r="F114" s="176">
        <v>1</v>
      </c>
    </row>
    <row r="115" spans="1:6" x14ac:dyDescent="0.35">
      <c r="A115" s="178" t="s">
        <v>301</v>
      </c>
      <c r="B115" s="175">
        <v>10</v>
      </c>
      <c r="C115" s="176">
        <v>0</v>
      </c>
      <c r="D115" s="175">
        <v>10</v>
      </c>
      <c r="E115" s="175">
        <v>10</v>
      </c>
      <c r="F115" s="176">
        <v>1</v>
      </c>
    </row>
    <row r="116" spans="1:6" x14ac:dyDescent="0.35">
      <c r="A116" s="178" t="s">
        <v>302</v>
      </c>
      <c r="B116" s="175" t="s">
        <v>164</v>
      </c>
      <c r="C116" s="176" t="s">
        <v>164</v>
      </c>
      <c r="D116" s="175" t="s">
        <v>164</v>
      </c>
      <c r="E116" s="175" t="s">
        <v>164</v>
      </c>
      <c r="F116" s="176" t="s">
        <v>164</v>
      </c>
    </row>
    <row r="117" spans="1:6" x14ac:dyDescent="0.35">
      <c r="A117" s="178" t="s">
        <v>303</v>
      </c>
      <c r="B117" s="175">
        <v>15</v>
      </c>
      <c r="C117" s="176">
        <v>0</v>
      </c>
      <c r="D117" s="175">
        <v>15</v>
      </c>
      <c r="E117" s="175">
        <v>15</v>
      </c>
      <c r="F117" s="176">
        <v>1</v>
      </c>
    </row>
    <row r="118" spans="1:6" x14ac:dyDescent="0.35">
      <c r="A118" s="178" t="s">
        <v>304</v>
      </c>
      <c r="B118" s="175">
        <v>35</v>
      </c>
      <c r="C118" s="176">
        <v>0.02</v>
      </c>
      <c r="D118" s="175">
        <v>25</v>
      </c>
      <c r="E118" s="175">
        <v>20</v>
      </c>
      <c r="F118" s="176">
        <v>0.88</v>
      </c>
    </row>
    <row r="119" spans="1:6" x14ac:dyDescent="0.35">
      <c r="A119" s="178" t="s">
        <v>305</v>
      </c>
      <c r="B119" s="175">
        <v>60</v>
      </c>
      <c r="C119" s="176">
        <v>0.02</v>
      </c>
      <c r="D119" s="175">
        <v>65</v>
      </c>
      <c r="E119" s="175">
        <v>45</v>
      </c>
      <c r="F119" s="176">
        <v>0.75</v>
      </c>
    </row>
    <row r="120" spans="1:6" x14ac:dyDescent="0.35">
      <c r="A120" s="178" t="s">
        <v>306</v>
      </c>
      <c r="B120" s="175">
        <v>15</v>
      </c>
      <c r="C120" s="176">
        <v>0.02</v>
      </c>
      <c r="D120" s="175">
        <v>15</v>
      </c>
      <c r="E120" s="175">
        <v>15</v>
      </c>
      <c r="F120" s="176">
        <v>0.87</v>
      </c>
    </row>
    <row r="121" spans="1:6" x14ac:dyDescent="0.35">
      <c r="A121" s="178" t="s">
        <v>307</v>
      </c>
      <c r="B121" s="175">
        <v>110</v>
      </c>
      <c r="C121" s="176">
        <v>0.02</v>
      </c>
      <c r="D121" s="175">
        <v>105</v>
      </c>
      <c r="E121" s="175">
        <v>80</v>
      </c>
      <c r="F121" s="176">
        <v>0.8</v>
      </c>
    </row>
    <row r="122" spans="1:6" x14ac:dyDescent="0.35">
      <c r="A122" s="178" t="s">
        <v>308</v>
      </c>
      <c r="B122" s="175">
        <v>100</v>
      </c>
      <c r="C122" s="176">
        <v>0.06</v>
      </c>
      <c r="D122" s="175">
        <v>80</v>
      </c>
      <c r="E122" s="175">
        <v>70</v>
      </c>
      <c r="F122" s="176">
        <v>0.9</v>
      </c>
    </row>
    <row r="123" spans="1:6" x14ac:dyDescent="0.35">
      <c r="A123" s="178" t="s">
        <v>309</v>
      </c>
      <c r="B123" s="175">
        <v>200</v>
      </c>
      <c r="C123" s="176">
        <v>0.06</v>
      </c>
      <c r="D123" s="175">
        <v>200</v>
      </c>
      <c r="E123" s="175">
        <v>120</v>
      </c>
      <c r="F123" s="176">
        <v>0.6</v>
      </c>
    </row>
    <row r="124" spans="1:6" x14ac:dyDescent="0.35">
      <c r="A124" s="178" t="s">
        <v>310</v>
      </c>
      <c r="B124" s="175">
        <v>55</v>
      </c>
      <c r="C124" s="176">
        <v>0.05</v>
      </c>
      <c r="D124" s="175">
        <v>55</v>
      </c>
      <c r="E124" s="175">
        <v>40</v>
      </c>
      <c r="F124" s="176">
        <v>0.72</v>
      </c>
    </row>
    <row r="125" spans="1:6" x14ac:dyDescent="0.35">
      <c r="A125" s="178" t="s">
        <v>311</v>
      </c>
      <c r="B125" s="175">
        <v>350</v>
      </c>
      <c r="C125" s="176">
        <v>0.06</v>
      </c>
      <c r="D125" s="175">
        <v>335</v>
      </c>
      <c r="E125" s="175">
        <v>230</v>
      </c>
      <c r="F125" s="176">
        <v>0.69</v>
      </c>
    </row>
    <row r="126" spans="1:6" x14ac:dyDescent="0.35">
      <c r="A126" s="178" t="s">
        <v>312</v>
      </c>
      <c r="B126" s="175">
        <v>30</v>
      </c>
      <c r="C126" s="176">
        <v>0.02</v>
      </c>
      <c r="D126" s="175">
        <v>25</v>
      </c>
      <c r="E126" s="175">
        <v>20</v>
      </c>
      <c r="F126" s="176">
        <v>0.72</v>
      </c>
    </row>
    <row r="127" spans="1:6" x14ac:dyDescent="0.35">
      <c r="A127" s="178" t="s">
        <v>313</v>
      </c>
      <c r="B127" s="175">
        <v>55</v>
      </c>
      <c r="C127" s="176">
        <v>0.02</v>
      </c>
      <c r="D127" s="175">
        <v>60</v>
      </c>
      <c r="E127" s="175">
        <v>40</v>
      </c>
      <c r="F127" s="176">
        <v>0.71</v>
      </c>
    </row>
    <row r="128" spans="1:6" x14ac:dyDescent="0.35">
      <c r="A128" s="178" t="s">
        <v>314</v>
      </c>
      <c r="B128" s="175">
        <v>15</v>
      </c>
      <c r="C128" s="176">
        <v>0.02</v>
      </c>
      <c r="D128" s="175">
        <v>15</v>
      </c>
      <c r="E128" s="175">
        <v>10</v>
      </c>
      <c r="F128" s="176">
        <v>0.75</v>
      </c>
    </row>
    <row r="129" spans="1:6" x14ac:dyDescent="0.35">
      <c r="A129" s="178" t="s">
        <v>315</v>
      </c>
      <c r="B129" s="175">
        <v>100</v>
      </c>
      <c r="C129" s="176">
        <v>0.02</v>
      </c>
      <c r="D129" s="175">
        <v>100</v>
      </c>
      <c r="E129" s="175">
        <v>70</v>
      </c>
      <c r="F129" s="176">
        <v>0.72</v>
      </c>
    </row>
    <row r="130" spans="1:6" x14ac:dyDescent="0.35">
      <c r="A130" s="178" t="s">
        <v>316</v>
      </c>
      <c r="B130" s="184">
        <v>1750</v>
      </c>
      <c r="C130" s="176">
        <v>1</v>
      </c>
      <c r="D130" s="184">
        <v>1410</v>
      </c>
      <c r="E130" s="184">
        <v>1185</v>
      </c>
      <c r="F130" s="176">
        <v>0.84</v>
      </c>
    </row>
    <row r="131" spans="1:6" x14ac:dyDescent="0.35">
      <c r="A131" s="178" t="s">
        <v>317</v>
      </c>
      <c r="B131" s="184">
        <v>3375</v>
      </c>
      <c r="C131" s="176">
        <v>1</v>
      </c>
      <c r="D131" s="184">
        <v>3470</v>
      </c>
      <c r="E131" s="184">
        <v>2290</v>
      </c>
      <c r="F131" s="176">
        <v>0.66</v>
      </c>
    </row>
    <row r="132" spans="1:6" x14ac:dyDescent="0.35">
      <c r="A132" s="178" t="s">
        <v>318</v>
      </c>
      <c r="B132" s="184">
        <v>1080</v>
      </c>
      <c r="C132" s="176">
        <v>1</v>
      </c>
      <c r="D132" s="184">
        <v>1015</v>
      </c>
      <c r="E132" s="184">
        <v>710</v>
      </c>
      <c r="F132" s="176">
        <v>0.7</v>
      </c>
    </row>
    <row r="133" spans="1:6" x14ac:dyDescent="0.35">
      <c r="A133" s="178" t="s">
        <v>319</v>
      </c>
      <c r="B133" s="184">
        <v>6205</v>
      </c>
      <c r="C133" s="176">
        <v>1</v>
      </c>
      <c r="D133" s="184">
        <v>5895</v>
      </c>
      <c r="E133" s="184">
        <v>4190</v>
      </c>
      <c r="F133" s="176">
        <v>0.71</v>
      </c>
    </row>
    <row r="134" spans="1:6" x14ac:dyDescent="0.35">
      <c r="A134" s="178" t="s">
        <v>340</v>
      </c>
      <c r="B134" s="175">
        <v>0</v>
      </c>
      <c r="C134" s="176">
        <v>0</v>
      </c>
      <c r="D134" s="175">
        <v>0</v>
      </c>
      <c r="E134" s="175">
        <v>0</v>
      </c>
      <c r="F134" s="176">
        <v>0</v>
      </c>
    </row>
    <row r="135" spans="1:6" x14ac:dyDescent="0.35">
      <c r="A135" s="178" t="s">
        <v>342</v>
      </c>
      <c r="B135" s="175">
        <v>0</v>
      </c>
      <c r="C135" s="176">
        <v>0</v>
      </c>
      <c r="D135" s="175">
        <v>0</v>
      </c>
      <c r="E135" s="175">
        <v>0</v>
      </c>
      <c r="F135" s="176">
        <v>0</v>
      </c>
    </row>
    <row r="136" spans="1:6" x14ac:dyDescent="0.35">
      <c r="A136" s="178" t="s">
        <v>343</v>
      </c>
      <c r="B136" s="175" t="s">
        <v>164</v>
      </c>
      <c r="C136" s="176" t="s">
        <v>164</v>
      </c>
      <c r="D136" s="175">
        <v>0</v>
      </c>
      <c r="E136" s="175">
        <v>0</v>
      </c>
      <c r="F136" s="175">
        <v>0</v>
      </c>
    </row>
    <row r="137" spans="1:6" x14ac:dyDescent="0.35">
      <c r="A137" s="178" t="s">
        <v>341</v>
      </c>
      <c r="B137" s="175" t="s">
        <v>164</v>
      </c>
      <c r="C137" s="176" t="s">
        <v>164</v>
      </c>
      <c r="D137" s="175">
        <v>0</v>
      </c>
      <c r="E137" s="175">
        <v>0</v>
      </c>
      <c r="F137" s="175">
        <v>0</v>
      </c>
    </row>
    <row r="138" spans="1:6" x14ac:dyDescent="0.35">
      <c r="A138" s="178" t="s">
        <v>320</v>
      </c>
      <c r="B138" s="175">
        <v>30</v>
      </c>
      <c r="C138" s="176">
        <v>0.02</v>
      </c>
      <c r="D138" s="175">
        <v>20</v>
      </c>
      <c r="E138" s="175">
        <v>15</v>
      </c>
      <c r="F138" s="176">
        <v>0.79</v>
      </c>
    </row>
    <row r="139" spans="1:6" x14ac:dyDescent="0.35">
      <c r="A139" s="178" t="s">
        <v>321</v>
      </c>
      <c r="B139" s="175">
        <v>65</v>
      </c>
      <c r="C139" s="176">
        <v>0.02</v>
      </c>
      <c r="D139" s="175">
        <v>70</v>
      </c>
      <c r="E139" s="175">
        <v>45</v>
      </c>
      <c r="F139" s="176">
        <v>0.63</v>
      </c>
    </row>
    <row r="140" spans="1:6" x14ac:dyDescent="0.35">
      <c r="A140" s="178" t="s">
        <v>322</v>
      </c>
      <c r="B140" s="175">
        <v>20</v>
      </c>
      <c r="C140" s="176">
        <v>0.02</v>
      </c>
      <c r="D140" s="175">
        <v>20</v>
      </c>
      <c r="E140" s="175">
        <v>15</v>
      </c>
      <c r="F140" s="176">
        <v>0.81</v>
      </c>
    </row>
    <row r="141" spans="1:6" x14ac:dyDescent="0.35">
      <c r="A141" s="178" t="s">
        <v>323</v>
      </c>
      <c r="B141" s="175">
        <v>115</v>
      </c>
      <c r="C141" s="176">
        <v>0.02</v>
      </c>
      <c r="D141" s="175">
        <v>110</v>
      </c>
      <c r="E141" s="175">
        <v>75</v>
      </c>
      <c r="F141" s="176">
        <v>0.69</v>
      </c>
    </row>
    <row r="142" spans="1:6" x14ac:dyDescent="0.35">
      <c r="A142" s="178" t="s">
        <v>324</v>
      </c>
      <c r="B142" s="175">
        <v>75</v>
      </c>
      <c r="C142" s="176">
        <v>0.04</v>
      </c>
      <c r="D142" s="175">
        <v>60</v>
      </c>
      <c r="E142" s="175">
        <v>55</v>
      </c>
      <c r="F142" s="176">
        <v>0.85</v>
      </c>
    </row>
    <row r="143" spans="1:6" x14ac:dyDescent="0.35">
      <c r="A143" s="178" t="s">
        <v>325</v>
      </c>
      <c r="B143" s="175">
        <v>140</v>
      </c>
      <c r="C143" s="176">
        <v>0.04</v>
      </c>
      <c r="D143" s="175">
        <v>150</v>
      </c>
      <c r="E143" s="175">
        <v>100</v>
      </c>
      <c r="F143" s="176">
        <v>0.64</v>
      </c>
    </row>
    <row r="144" spans="1:6" x14ac:dyDescent="0.35">
      <c r="A144" s="178" t="s">
        <v>326</v>
      </c>
      <c r="B144" s="175">
        <v>50</v>
      </c>
      <c r="C144" s="176">
        <v>0.04</v>
      </c>
      <c r="D144" s="175">
        <v>40</v>
      </c>
      <c r="E144" s="175">
        <v>25</v>
      </c>
      <c r="F144" s="176">
        <v>0.63</v>
      </c>
    </row>
    <row r="145" spans="1:6" x14ac:dyDescent="0.35">
      <c r="A145" s="178" t="s">
        <v>327</v>
      </c>
      <c r="B145" s="175">
        <v>265</v>
      </c>
      <c r="C145" s="176">
        <v>0.04</v>
      </c>
      <c r="D145" s="175">
        <v>255</v>
      </c>
      <c r="E145" s="175">
        <v>175</v>
      </c>
      <c r="F145" s="176">
        <v>0.69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5"/>
  <sheetViews>
    <sheetView zoomScale="75" zoomScaleNormal="75" workbookViewId="0"/>
  </sheetViews>
  <sheetFormatPr defaultRowHeight="14.5" x14ac:dyDescent="0.35"/>
  <cols>
    <col min="1" max="1" width="40.26953125" style="4" customWidth="1"/>
    <col min="2" max="2" width="11.81640625" style="4" customWidth="1"/>
    <col min="3" max="3" width="13" style="4" customWidth="1"/>
    <col min="4" max="4" width="10.90625" style="17" customWidth="1"/>
    <col min="5" max="5" width="8.7265625" style="4"/>
    <col min="6" max="6" width="10.90625" style="4" customWidth="1"/>
    <col min="7" max="16384" width="8.7265625" style="4"/>
  </cols>
  <sheetData>
    <row r="1" spans="1:7" ht="43.5" x14ac:dyDescent="0.35">
      <c r="A1" s="177" t="s">
        <v>328</v>
      </c>
      <c r="B1" s="177" t="s">
        <v>339</v>
      </c>
      <c r="C1" s="177" t="s">
        <v>357</v>
      </c>
      <c r="D1" s="221"/>
      <c r="E1" s="17"/>
      <c r="F1" s="174" t="s">
        <v>330</v>
      </c>
    </row>
    <row r="2" spans="1:7" x14ac:dyDescent="0.35">
      <c r="A2" s="178" t="s">
        <v>188</v>
      </c>
      <c r="B2" s="182">
        <v>4500</v>
      </c>
      <c r="C2" s="185">
        <v>0.01</v>
      </c>
      <c r="D2" s="202"/>
      <c r="F2" t="s">
        <v>331</v>
      </c>
    </row>
    <row r="3" spans="1:7" x14ac:dyDescent="0.35">
      <c r="A3" s="178" t="s">
        <v>189</v>
      </c>
      <c r="B3" s="182">
        <v>8843</v>
      </c>
      <c r="C3" s="185">
        <v>0.01</v>
      </c>
      <c r="D3" s="202"/>
      <c r="F3" t="s">
        <v>332</v>
      </c>
    </row>
    <row r="4" spans="1:7" x14ac:dyDescent="0.35">
      <c r="A4" s="178" t="s">
        <v>190</v>
      </c>
      <c r="B4" s="182">
        <v>3692</v>
      </c>
      <c r="C4" s="185">
        <v>0.02</v>
      </c>
      <c r="D4" s="202"/>
      <c r="F4" t="s">
        <v>333</v>
      </c>
    </row>
    <row r="5" spans="1:7" x14ac:dyDescent="0.35">
      <c r="A5" s="178" t="s">
        <v>191</v>
      </c>
      <c r="B5" s="182">
        <v>17035</v>
      </c>
      <c r="C5" s="185">
        <v>0.01</v>
      </c>
      <c r="D5" s="202"/>
      <c r="F5" t="s">
        <v>96</v>
      </c>
    </row>
    <row r="6" spans="1:7" x14ac:dyDescent="0.35">
      <c r="A6" s="178" t="s">
        <v>192</v>
      </c>
      <c r="B6" s="182">
        <v>6900</v>
      </c>
      <c r="C6" s="185">
        <v>0.02</v>
      </c>
      <c r="D6" s="202"/>
    </row>
    <row r="7" spans="1:7" x14ac:dyDescent="0.35">
      <c r="A7" s="178" t="s">
        <v>193</v>
      </c>
      <c r="B7" s="182">
        <v>11589</v>
      </c>
      <c r="C7" s="185">
        <v>0.02</v>
      </c>
      <c r="D7" s="202"/>
      <c r="G7" s="43"/>
    </row>
    <row r="8" spans="1:7" x14ac:dyDescent="0.35">
      <c r="A8" s="178" t="s">
        <v>194</v>
      </c>
      <c r="B8" s="182">
        <v>3692</v>
      </c>
      <c r="C8" s="185">
        <v>0.02</v>
      </c>
      <c r="D8" s="202"/>
    </row>
    <row r="9" spans="1:7" x14ac:dyDescent="0.35">
      <c r="A9" s="178" t="s">
        <v>195</v>
      </c>
      <c r="B9" s="182">
        <v>22180</v>
      </c>
      <c r="C9" s="185">
        <v>0.02</v>
      </c>
      <c r="D9" s="202"/>
    </row>
    <row r="10" spans="1:7" x14ac:dyDescent="0.35">
      <c r="A10" s="178" t="s">
        <v>196</v>
      </c>
      <c r="B10" s="182">
        <v>9000</v>
      </c>
      <c r="C10" s="185">
        <v>0.03</v>
      </c>
      <c r="D10" s="202"/>
    </row>
    <row r="11" spans="1:7" x14ac:dyDescent="0.35">
      <c r="A11" s="178" t="s">
        <v>197</v>
      </c>
      <c r="B11" s="182">
        <v>21326</v>
      </c>
      <c r="C11" s="185">
        <v>0.03</v>
      </c>
      <c r="D11" s="202"/>
    </row>
    <row r="12" spans="1:7" x14ac:dyDescent="0.35">
      <c r="A12" s="178" t="s">
        <v>198</v>
      </c>
      <c r="B12" s="182">
        <v>6764</v>
      </c>
      <c r="C12" s="185">
        <v>0.03</v>
      </c>
      <c r="D12" s="202"/>
    </row>
    <row r="13" spans="1:7" x14ac:dyDescent="0.35">
      <c r="A13" s="178" t="s">
        <v>199</v>
      </c>
      <c r="B13" s="182">
        <v>37090</v>
      </c>
      <c r="C13" s="185">
        <v>0.03</v>
      </c>
      <c r="D13" s="202"/>
    </row>
    <row r="14" spans="1:7" x14ac:dyDescent="0.35">
      <c r="A14" s="178" t="s">
        <v>200</v>
      </c>
      <c r="B14" s="182">
        <v>7200</v>
      </c>
      <c r="C14" s="185">
        <v>0.02</v>
      </c>
      <c r="D14" s="202"/>
    </row>
    <row r="15" spans="1:7" x14ac:dyDescent="0.35">
      <c r="A15" s="178" t="s">
        <v>201</v>
      </c>
      <c r="B15" s="182">
        <v>17665</v>
      </c>
      <c r="C15" s="185">
        <v>0.03</v>
      </c>
      <c r="D15" s="202"/>
    </row>
    <row r="16" spans="1:7" x14ac:dyDescent="0.35">
      <c r="A16" s="178" t="s">
        <v>202</v>
      </c>
      <c r="B16" s="182">
        <v>5837</v>
      </c>
      <c r="C16" s="185">
        <v>0.03</v>
      </c>
      <c r="D16" s="202"/>
    </row>
    <row r="17" spans="1:4" x14ac:dyDescent="0.35">
      <c r="A17" s="178" t="s">
        <v>203</v>
      </c>
      <c r="B17" s="182">
        <v>30702</v>
      </c>
      <c r="C17" s="185">
        <v>0.02</v>
      </c>
      <c r="D17" s="202"/>
    </row>
    <row r="18" spans="1:4" x14ac:dyDescent="0.35">
      <c r="A18" s="178" t="s">
        <v>204</v>
      </c>
      <c r="B18" s="182">
        <v>3000</v>
      </c>
      <c r="C18" s="185">
        <v>0.01</v>
      </c>
      <c r="D18" s="202"/>
    </row>
    <row r="19" spans="1:4" x14ac:dyDescent="0.35">
      <c r="A19" s="178" t="s">
        <v>205</v>
      </c>
      <c r="B19" s="182">
        <v>7922</v>
      </c>
      <c r="C19" s="185">
        <v>0.01</v>
      </c>
      <c r="D19" s="202"/>
    </row>
    <row r="20" spans="1:4" x14ac:dyDescent="0.35">
      <c r="A20" s="178" t="s">
        <v>206</v>
      </c>
      <c r="B20" s="182">
        <v>4000</v>
      </c>
      <c r="C20" s="185">
        <v>0.02</v>
      </c>
      <c r="D20" s="202"/>
    </row>
    <row r="21" spans="1:4" x14ac:dyDescent="0.35">
      <c r="A21" s="178" t="s">
        <v>207</v>
      </c>
      <c r="B21" s="182">
        <v>14922</v>
      </c>
      <c r="C21" s="185">
        <v>0.01</v>
      </c>
      <c r="D21" s="202"/>
    </row>
    <row r="22" spans="1:4" x14ac:dyDescent="0.35">
      <c r="A22" s="178" t="s">
        <v>208</v>
      </c>
      <c r="B22" s="182">
        <v>12900</v>
      </c>
      <c r="C22" s="185">
        <v>0.04</v>
      </c>
      <c r="D22" s="202"/>
    </row>
    <row r="23" spans="1:4" x14ac:dyDescent="0.35">
      <c r="A23" s="178" t="s">
        <v>209</v>
      </c>
      <c r="B23" s="182">
        <v>21642</v>
      </c>
      <c r="C23" s="185">
        <v>0.03</v>
      </c>
      <c r="D23" s="202"/>
    </row>
    <row r="24" spans="1:4" x14ac:dyDescent="0.35">
      <c r="A24" s="178" t="s">
        <v>210</v>
      </c>
      <c r="B24" s="182">
        <v>7981</v>
      </c>
      <c r="C24" s="185">
        <v>0.04</v>
      </c>
      <c r="D24" s="202"/>
    </row>
    <row r="25" spans="1:4" x14ac:dyDescent="0.35">
      <c r="A25" s="178" t="s">
        <v>211</v>
      </c>
      <c r="B25" s="182">
        <v>42523</v>
      </c>
      <c r="C25" s="185">
        <v>0.03</v>
      </c>
      <c r="D25" s="202"/>
    </row>
    <row r="26" spans="1:4" x14ac:dyDescent="0.35">
      <c r="A26" s="178" t="s">
        <v>212</v>
      </c>
      <c r="B26" s="182">
        <v>10800</v>
      </c>
      <c r="C26" s="185">
        <v>0.03</v>
      </c>
      <c r="D26" s="202"/>
    </row>
    <row r="27" spans="1:4" x14ac:dyDescent="0.35">
      <c r="A27" s="178" t="s">
        <v>213</v>
      </c>
      <c r="B27" s="182">
        <v>23452</v>
      </c>
      <c r="C27" s="185">
        <v>0.03</v>
      </c>
      <c r="D27" s="202"/>
    </row>
    <row r="28" spans="1:4" x14ac:dyDescent="0.35">
      <c r="A28" s="178" t="s">
        <v>214</v>
      </c>
      <c r="B28" s="182">
        <v>9531</v>
      </c>
      <c r="C28" s="185">
        <v>0.04</v>
      </c>
      <c r="D28" s="202"/>
    </row>
    <row r="29" spans="1:4" x14ac:dyDescent="0.35">
      <c r="A29" s="178" t="s">
        <v>215</v>
      </c>
      <c r="B29" s="182">
        <v>43783</v>
      </c>
      <c r="C29" s="185">
        <v>0.03</v>
      </c>
      <c r="D29" s="202"/>
    </row>
    <row r="30" spans="1:4" x14ac:dyDescent="0.35">
      <c r="A30" s="178" t="s">
        <v>216</v>
      </c>
      <c r="B30" s="182">
        <v>12300</v>
      </c>
      <c r="C30" s="185">
        <v>0.04</v>
      </c>
      <c r="D30" s="202"/>
    </row>
    <row r="31" spans="1:4" x14ac:dyDescent="0.35">
      <c r="A31" s="178" t="s">
        <v>217</v>
      </c>
      <c r="B31" s="182">
        <v>23757</v>
      </c>
      <c r="C31" s="185">
        <v>0.03</v>
      </c>
      <c r="D31" s="202"/>
    </row>
    <row r="32" spans="1:4" x14ac:dyDescent="0.35">
      <c r="A32" s="178" t="s">
        <v>218</v>
      </c>
      <c r="B32" s="182">
        <v>8607</v>
      </c>
      <c r="C32" s="185">
        <v>0.04</v>
      </c>
      <c r="D32" s="202"/>
    </row>
    <row r="33" spans="1:4" x14ac:dyDescent="0.35">
      <c r="A33" s="178" t="s">
        <v>219</v>
      </c>
      <c r="B33" s="182">
        <v>44664</v>
      </c>
      <c r="C33" s="185">
        <v>0.04</v>
      </c>
      <c r="D33" s="202"/>
    </row>
    <row r="34" spans="1:4" x14ac:dyDescent="0.35">
      <c r="A34" s="178" t="s">
        <v>220</v>
      </c>
      <c r="B34" s="182">
        <v>9900</v>
      </c>
      <c r="C34" s="185">
        <v>0.03</v>
      </c>
      <c r="D34" s="202"/>
    </row>
    <row r="35" spans="1:4" x14ac:dyDescent="0.35">
      <c r="A35" s="178" t="s">
        <v>221</v>
      </c>
      <c r="B35" s="182">
        <v>18581</v>
      </c>
      <c r="C35" s="185">
        <v>0.03</v>
      </c>
      <c r="D35" s="202"/>
    </row>
    <row r="36" spans="1:4" x14ac:dyDescent="0.35">
      <c r="A36" s="178" t="s">
        <v>222</v>
      </c>
      <c r="B36" s="182">
        <v>4607</v>
      </c>
      <c r="C36" s="185">
        <v>0.02</v>
      </c>
      <c r="D36" s="202"/>
    </row>
    <row r="37" spans="1:4" x14ac:dyDescent="0.35">
      <c r="A37" s="178" t="s">
        <v>223</v>
      </c>
      <c r="B37" s="182">
        <v>33088</v>
      </c>
      <c r="C37" s="185">
        <v>0.03</v>
      </c>
      <c r="D37" s="202"/>
    </row>
    <row r="38" spans="1:4" x14ac:dyDescent="0.35">
      <c r="A38" s="178" t="s">
        <v>224</v>
      </c>
      <c r="B38" s="182">
        <v>3900</v>
      </c>
      <c r="C38" s="185">
        <v>0.01</v>
      </c>
      <c r="D38" s="202"/>
    </row>
    <row r="39" spans="1:4" x14ac:dyDescent="0.35">
      <c r="A39" s="178" t="s">
        <v>225</v>
      </c>
      <c r="B39" s="182">
        <v>7922</v>
      </c>
      <c r="C39" s="185">
        <v>0.01</v>
      </c>
      <c r="D39" s="202"/>
    </row>
    <row r="40" spans="1:4" x14ac:dyDescent="0.35">
      <c r="A40" s="178" t="s">
        <v>226</v>
      </c>
      <c r="B40" s="182">
        <v>2764</v>
      </c>
      <c r="C40" s="185">
        <v>0.01</v>
      </c>
      <c r="D40" s="202"/>
    </row>
    <row r="41" spans="1:4" x14ac:dyDescent="0.35">
      <c r="A41" s="178" t="s">
        <v>227</v>
      </c>
      <c r="B41" s="182">
        <v>14587</v>
      </c>
      <c r="C41" s="185">
        <v>0.01</v>
      </c>
      <c r="D41" s="202"/>
    </row>
    <row r="42" spans="1:4" x14ac:dyDescent="0.35">
      <c r="A42" s="178" t="s">
        <v>228</v>
      </c>
      <c r="B42" s="182">
        <v>9900</v>
      </c>
      <c r="C42" s="185">
        <v>0.03</v>
      </c>
      <c r="D42" s="202"/>
    </row>
    <row r="43" spans="1:4" x14ac:dyDescent="0.35">
      <c r="A43" s="178" t="s">
        <v>229</v>
      </c>
      <c r="B43" s="182">
        <v>15550</v>
      </c>
      <c r="C43" s="185">
        <v>0.02</v>
      </c>
      <c r="D43" s="202"/>
    </row>
    <row r="44" spans="1:4" x14ac:dyDescent="0.35">
      <c r="A44" s="178" t="s">
        <v>230</v>
      </c>
      <c r="B44" s="182">
        <v>3985</v>
      </c>
      <c r="C44" s="185">
        <v>0.02</v>
      </c>
      <c r="D44" s="202"/>
    </row>
    <row r="45" spans="1:4" x14ac:dyDescent="0.35">
      <c r="A45" s="178" t="s">
        <v>231</v>
      </c>
      <c r="B45" s="182">
        <v>29435</v>
      </c>
      <c r="C45" s="185">
        <v>0.02</v>
      </c>
      <c r="D45" s="202"/>
    </row>
    <row r="46" spans="1:4" x14ac:dyDescent="0.35">
      <c r="A46" s="178" t="s">
        <v>232</v>
      </c>
      <c r="B46" s="182">
        <v>12000</v>
      </c>
      <c r="C46" s="185">
        <v>0.04</v>
      </c>
      <c r="D46" s="202"/>
    </row>
    <row r="47" spans="1:4" x14ac:dyDescent="0.35">
      <c r="A47" s="178" t="s">
        <v>233</v>
      </c>
      <c r="B47" s="182">
        <v>25288</v>
      </c>
      <c r="C47" s="185">
        <v>0.04</v>
      </c>
      <c r="D47" s="202"/>
    </row>
    <row r="48" spans="1:4" x14ac:dyDescent="0.35">
      <c r="A48" s="178" t="s">
        <v>234</v>
      </c>
      <c r="B48" s="182">
        <v>6761</v>
      </c>
      <c r="C48" s="185">
        <v>0.03</v>
      </c>
      <c r="D48" s="202"/>
    </row>
    <row r="49" spans="1:4" x14ac:dyDescent="0.35">
      <c r="A49" s="178" t="s">
        <v>235</v>
      </c>
      <c r="B49" s="182">
        <v>44049</v>
      </c>
      <c r="C49" s="185">
        <v>0.04</v>
      </c>
      <c r="D49" s="202"/>
    </row>
    <row r="50" spans="1:4" x14ac:dyDescent="0.35">
      <c r="A50" s="178" t="s">
        <v>236</v>
      </c>
      <c r="B50" s="182">
        <v>10800</v>
      </c>
      <c r="C50" s="185">
        <v>0.03</v>
      </c>
      <c r="D50" s="202"/>
    </row>
    <row r="51" spans="1:4" x14ac:dyDescent="0.35">
      <c r="A51" s="178" t="s">
        <v>237</v>
      </c>
      <c r="B51" s="182">
        <v>19196</v>
      </c>
      <c r="C51" s="185">
        <v>0.03</v>
      </c>
      <c r="D51" s="202"/>
    </row>
    <row r="52" spans="1:4" x14ac:dyDescent="0.35">
      <c r="A52" s="178" t="s">
        <v>238</v>
      </c>
      <c r="B52" s="182">
        <v>7676</v>
      </c>
      <c r="C52" s="185">
        <v>0.04</v>
      </c>
      <c r="D52" s="202"/>
    </row>
    <row r="53" spans="1:4" x14ac:dyDescent="0.35">
      <c r="A53" s="178" t="s">
        <v>239</v>
      </c>
      <c r="B53" s="182">
        <v>37672</v>
      </c>
      <c r="C53" s="185">
        <v>0.03</v>
      </c>
      <c r="D53" s="202"/>
    </row>
    <row r="54" spans="1:4" x14ac:dyDescent="0.35">
      <c r="A54" s="178" t="s">
        <v>240</v>
      </c>
      <c r="B54" s="182">
        <v>19200</v>
      </c>
      <c r="C54" s="185">
        <v>0.06</v>
      </c>
      <c r="D54" s="202"/>
    </row>
    <row r="55" spans="1:4" x14ac:dyDescent="0.35">
      <c r="A55" s="178" t="s">
        <v>241</v>
      </c>
      <c r="B55" s="182">
        <v>46619</v>
      </c>
      <c r="C55" s="185">
        <v>7.0000000000000007E-2</v>
      </c>
      <c r="D55" s="202"/>
    </row>
    <row r="56" spans="1:4" x14ac:dyDescent="0.35">
      <c r="A56" s="178" t="s">
        <v>242</v>
      </c>
      <c r="B56" s="182">
        <v>18141</v>
      </c>
      <c r="C56" s="185">
        <v>0.08</v>
      </c>
      <c r="D56" s="202"/>
    </row>
    <row r="57" spans="1:4" x14ac:dyDescent="0.35">
      <c r="A57" s="178" t="s">
        <v>243</v>
      </c>
      <c r="B57" s="182">
        <v>83960</v>
      </c>
      <c r="C57" s="185">
        <v>7.0000000000000007E-2</v>
      </c>
      <c r="D57" s="202"/>
    </row>
    <row r="58" spans="1:4" x14ac:dyDescent="0.35">
      <c r="A58" s="178" t="s">
        <v>244</v>
      </c>
      <c r="B58" s="182">
        <v>44700</v>
      </c>
      <c r="C58" s="185">
        <v>0.13</v>
      </c>
      <c r="D58" s="202"/>
    </row>
    <row r="59" spans="1:4" x14ac:dyDescent="0.35">
      <c r="A59" s="178" t="s">
        <v>245</v>
      </c>
      <c r="B59" s="182">
        <v>102381</v>
      </c>
      <c r="C59" s="185">
        <v>0.15</v>
      </c>
      <c r="D59" s="202"/>
    </row>
    <row r="60" spans="1:4" x14ac:dyDescent="0.35">
      <c r="A60" s="178" t="s">
        <v>246</v>
      </c>
      <c r="B60" s="182">
        <v>31050</v>
      </c>
      <c r="C60" s="185">
        <v>0.14000000000000001</v>
      </c>
      <c r="D60" s="202"/>
    </row>
    <row r="61" spans="1:4" x14ac:dyDescent="0.35">
      <c r="A61" s="178" t="s">
        <v>247</v>
      </c>
      <c r="B61" s="182">
        <v>178131</v>
      </c>
      <c r="C61" s="185">
        <v>0.14000000000000001</v>
      </c>
      <c r="D61" s="202"/>
    </row>
    <row r="62" spans="1:4" x14ac:dyDescent="0.35">
      <c r="A62" s="178" t="s">
        <v>248</v>
      </c>
      <c r="B62" s="182">
        <v>12000</v>
      </c>
      <c r="C62" s="185">
        <v>0.04</v>
      </c>
      <c r="D62" s="202"/>
    </row>
    <row r="63" spans="1:4" x14ac:dyDescent="0.35">
      <c r="A63" s="178" t="s">
        <v>249</v>
      </c>
      <c r="B63" s="182">
        <v>28349</v>
      </c>
      <c r="C63" s="185">
        <v>0.04</v>
      </c>
      <c r="D63" s="202"/>
    </row>
    <row r="64" spans="1:4" x14ac:dyDescent="0.35">
      <c r="A64" s="178" t="s">
        <v>250</v>
      </c>
      <c r="B64" s="182">
        <v>5852</v>
      </c>
      <c r="C64" s="185">
        <v>0.03</v>
      </c>
      <c r="D64" s="202"/>
    </row>
    <row r="65" spans="1:4" x14ac:dyDescent="0.35">
      <c r="A65" s="178" t="s">
        <v>251</v>
      </c>
      <c r="B65" s="182">
        <v>46201</v>
      </c>
      <c r="C65" s="185">
        <v>0.04</v>
      </c>
      <c r="D65" s="202"/>
    </row>
    <row r="66" spans="1:4" x14ac:dyDescent="0.35">
      <c r="A66" s="178" t="s">
        <v>252</v>
      </c>
      <c r="B66" s="182">
        <v>14700</v>
      </c>
      <c r="C66" s="185">
        <v>0.04</v>
      </c>
      <c r="D66" s="202"/>
    </row>
    <row r="67" spans="1:4" x14ac:dyDescent="0.35">
      <c r="A67" s="178" t="s">
        <v>253</v>
      </c>
      <c r="B67" s="182">
        <v>24393</v>
      </c>
      <c r="C67" s="185">
        <v>0.04</v>
      </c>
      <c r="D67" s="202"/>
    </row>
    <row r="68" spans="1:4" x14ac:dyDescent="0.35">
      <c r="A68" s="178" t="s">
        <v>254</v>
      </c>
      <c r="B68" s="182">
        <v>6160</v>
      </c>
      <c r="C68" s="185">
        <v>0.03</v>
      </c>
      <c r="D68" s="202"/>
    </row>
    <row r="69" spans="1:4" x14ac:dyDescent="0.35">
      <c r="A69" s="178" t="s">
        <v>255</v>
      </c>
      <c r="B69" s="182">
        <v>45253</v>
      </c>
      <c r="C69" s="185">
        <v>0.04</v>
      </c>
      <c r="D69" s="202"/>
    </row>
    <row r="70" spans="1:4" x14ac:dyDescent="0.35">
      <c r="A70" s="178" t="s">
        <v>256</v>
      </c>
      <c r="B70" s="182">
        <v>5700</v>
      </c>
      <c r="C70" s="185">
        <v>0.02</v>
      </c>
      <c r="D70" s="202"/>
    </row>
    <row r="71" spans="1:4" x14ac:dyDescent="0.35">
      <c r="A71" s="178" t="s">
        <v>257</v>
      </c>
      <c r="B71" s="182">
        <v>11889</v>
      </c>
      <c r="C71" s="185">
        <v>0.02</v>
      </c>
      <c r="D71" s="202"/>
    </row>
    <row r="72" spans="1:4" x14ac:dyDescent="0.35">
      <c r="A72" s="178" t="s">
        <v>258</v>
      </c>
      <c r="B72" s="182">
        <v>2154</v>
      </c>
      <c r="C72" s="185">
        <v>0.01</v>
      </c>
      <c r="D72" s="202"/>
    </row>
    <row r="73" spans="1:4" x14ac:dyDescent="0.35">
      <c r="A73" s="178" t="s">
        <v>259</v>
      </c>
      <c r="B73" s="182">
        <v>19743</v>
      </c>
      <c r="C73" s="185">
        <v>0.02</v>
      </c>
      <c r="D73" s="202"/>
    </row>
    <row r="74" spans="1:4" x14ac:dyDescent="0.35">
      <c r="A74" s="178" t="s">
        <v>260</v>
      </c>
      <c r="B74" s="182">
        <v>3300</v>
      </c>
      <c r="C74" s="185">
        <v>0.01</v>
      </c>
      <c r="D74" s="202"/>
    </row>
    <row r="75" spans="1:4" x14ac:dyDescent="0.35">
      <c r="A75" s="178" t="s">
        <v>261</v>
      </c>
      <c r="B75" s="182">
        <v>7928</v>
      </c>
      <c r="C75" s="185">
        <v>0.01</v>
      </c>
      <c r="D75" s="202"/>
    </row>
    <row r="76" spans="1:4" x14ac:dyDescent="0.35">
      <c r="A76" s="178" t="s">
        <v>262</v>
      </c>
      <c r="B76" s="182">
        <v>2154</v>
      </c>
      <c r="C76" s="185">
        <v>0.01</v>
      </c>
      <c r="D76" s="202"/>
    </row>
    <row r="77" spans="1:4" x14ac:dyDescent="0.35">
      <c r="A77" s="178" t="s">
        <v>263</v>
      </c>
      <c r="B77" s="182">
        <v>13382</v>
      </c>
      <c r="C77" s="185">
        <v>0.01</v>
      </c>
      <c r="D77" s="202"/>
    </row>
    <row r="78" spans="1:4" x14ac:dyDescent="0.35">
      <c r="A78" s="178" t="s">
        <v>264</v>
      </c>
      <c r="B78" s="182" t="s">
        <v>164</v>
      </c>
      <c r="C78" s="185">
        <v>0</v>
      </c>
      <c r="D78" s="202"/>
    </row>
    <row r="79" spans="1:4" x14ac:dyDescent="0.35">
      <c r="A79" s="178" t="s">
        <v>265</v>
      </c>
      <c r="B79" s="182">
        <v>2736</v>
      </c>
      <c r="C79" s="185">
        <v>0</v>
      </c>
      <c r="D79" s="202"/>
    </row>
    <row r="80" spans="1:4" x14ac:dyDescent="0.35">
      <c r="A80" s="178" t="s">
        <v>266</v>
      </c>
      <c r="B80" s="182" t="s">
        <v>356</v>
      </c>
      <c r="C80" s="185">
        <v>0</v>
      </c>
      <c r="D80" s="202"/>
    </row>
    <row r="81" spans="1:4" x14ac:dyDescent="0.35">
      <c r="A81" s="178" t="s">
        <v>267</v>
      </c>
      <c r="B81" s="182">
        <v>5157</v>
      </c>
      <c r="C81" s="185">
        <v>0</v>
      </c>
      <c r="D81" s="202"/>
    </row>
    <row r="82" spans="1:4" x14ac:dyDescent="0.35">
      <c r="A82" s="178" t="s">
        <v>268</v>
      </c>
      <c r="B82" s="182" t="s">
        <v>164</v>
      </c>
      <c r="C82" s="185">
        <v>0</v>
      </c>
      <c r="D82" s="202"/>
    </row>
    <row r="83" spans="1:4" x14ac:dyDescent="0.35">
      <c r="A83" s="178" t="s">
        <v>269</v>
      </c>
      <c r="B83" s="182">
        <v>0</v>
      </c>
      <c r="C83" s="185">
        <v>0</v>
      </c>
      <c r="D83" s="202"/>
    </row>
    <row r="84" spans="1:4" x14ac:dyDescent="0.35">
      <c r="A84" s="178" t="s">
        <v>270</v>
      </c>
      <c r="B84" s="182">
        <v>0</v>
      </c>
      <c r="C84" s="185">
        <v>0</v>
      </c>
      <c r="D84" s="202"/>
    </row>
    <row r="85" spans="1:4" x14ac:dyDescent="0.35">
      <c r="A85" s="178" t="s">
        <v>271</v>
      </c>
      <c r="B85" s="182" t="s">
        <v>164</v>
      </c>
      <c r="C85" s="185">
        <v>0</v>
      </c>
      <c r="D85" s="202"/>
    </row>
    <row r="86" spans="1:4" x14ac:dyDescent="0.35">
      <c r="A86" s="178" t="s">
        <v>272</v>
      </c>
      <c r="B86" s="182">
        <v>0</v>
      </c>
      <c r="C86" s="185">
        <v>0</v>
      </c>
      <c r="D86" s="202"/>
    </row>
    <row r="87" spans="1:4" x14ac:dyDescent="0.35">
      <c r="A87" s="178" t="s">
        <v>273</v>
      </c>
      <c r="B87" s="182" t="s">
        <v>164</v>
      </c>
      <c r="C87" s="185">
        <v>0</v>
      </c>
      <c r="D87" s="202"/>
    </row>
    <row r="88" spans="1:4" x14ac:dyDescent="0.35">
      <c r="A88" s="178" t="s">
        <v>274</v>
      </c>
      <c r="B88" s="182">
        <v>0</v>
      </c>
      <c r="C88" s="185">
        <v>0</v>
      </c>
      <c r="D88" s="202"/>
    </row>
    <row r="89" spans="1:4" x14ac:dyDescent="0.35">
      <c r="A89" s="178" t="s">
        <v>275</v>
      </c>
      <c r="B89" s="182" t="s">
        <v>164</v>
      </c>
      <c r="C89" s="185">
        <v>0</v>
      </c>
      <c r="D89" s="202"/>
    </row>
    <row r="90" spans="1:4" x14ac:dyDescent="0.35">
      <c r="A90" s="178" t="s">
        <v>276</v>
      </c>
      <c r="B90" s="182">
        <v>14100</v>
      </c>
      <c r="C90" s="185">
        <v>0.04</v>
      </c>
      <c r="D90" s="202"/>
    </row>
    <row r="91" spans="1:4" x14ac:dyDescent="0.35">
      <c r="A91" s="178" t="s">
        <v>277</v>
      </c>
      <c r="B91" s="182">
        <v>27118</v>
      </c>
      <c r="C91" s="185">
        <v>0.04</v>
      </c>
      <c r="D91" s="202"/>
    </row>
    <row r="92" spans="1:4" x14ac:dyDescent="0.35">
      <c r="A92" s="178" t="s">
        <v>278</v>
      </c>
      <c r="B92" s="182">
        <v>7374</v>
      </c>
      <c r="C92" s="185">
        <v>0.03</v>
      </c>
      <c r="D92" s="202"/>
    </row>
    <row r="93" spans="1:4" x14ac:dyDescent="0.35">
      <c r="A93" s="178" t="s">
        <v>279</v>
      </c>
      <c r="B93" s="182">
        <v>48592</v>
      </c>
      <c r="C93" s="185">
        <v>0.04</v>
      </c>
      <c r="D93" s="202"/>
    </row>
    <row r="94" spans="1:4" x14ac:dyDescent="0.35">
      <c r="A94" s="178" t="s">
        <v>280</v>
      </c>
      <c r="B94" s="182">
        <v>27300</v>
      </c>
      <c r="C94" s="185">
        <v>0.08</v>
      </c>
      <c r="D94" s="202"/>
    </row>
    <row r="95" spans="1:4" x14ac:dyDescent="0.35">
      <c r="A95" s="178" t="s">
        <v>281</v>
      </c>
      <c r="B95" s="182">
        <v>56062</v>
      </c>
      <c r="C95" s="185">
        <v>0.08</v>
      </c>
      <c r="D95" s="202"/>
    </row>
    <row r="96" spans="1:4" x14ac:dyDescent="0.35">
      <c r="A96" s="178" t="s">
        <v>282</v>
      </c>
      <c r="B96" s="182">
        <v>19655</v>
      </c>
      <c r="C96" s="185">
        <v>0.09</v>
      </c>
      <c r="D96" s="202"/>
    </row>
    <row r="97" spans="1:4" x14ac:dyDescent="0.35">
      <c r="A97" s="178" t="s">
        <v>283</v>
      </c>
      <c r="B97" s="182">
        <v>103016</v>
      </c>
      <c r="C97" s="185">
        <v>0.08</v>
      </c>
      <c r="D97" s="202"/>
    </row>
    <row r="98" spans="1:4" x14ac:dyDescent="0.35">
      <c r="A98" s="178" t="s">
        <v>284</v>
      </c>
      <c r="B98" s="182">
        <v>0</v>
      </c>
      <c r="C98" s="185">
        <v>0</v>
      </c>
      <c r="D98" s="202"/>
    </row>
    <row r="99" spans="1:4" x14ac:dyDescent="0.35">
      <c r="A99" s="178" t="s">
        <v>285</v>
      </c>
      <c r="B99" s="182" t="s">
        <v>164</v>
      </c>
      <c r="C99" s="185">
        <v>0</v>
      </c>
      <c r="D99" s="202"/>
    </row>
    <row r="100" spans="1:4" x14ac:dyDescent="0.35">
      <c r="A100" s="178" t="s">
        <v>286</v>
      </c>
      <c r="B100" s="182" t="s">
        <v>164</v>
      </c>
      <c r="C100" s="185">
        <v>0</v>
      </c>
      <c r="D100" s="202"/>
    </row>
    <row r="101" spans="1:4" x14ac:dyDescent="0.35">
      <c r="A101" s="178" t="s">
        <v>287</v>
      </c>
      <c r="B101" s="182">
        <v>1523</v>
      </c>
      <c r="C101" s="185">
        <v>0</v>
      </c>
      <c r="D101" s="202"/>
    </row>
    <row r="102" spans="1:4" x14ac:dyDescent="0.35">
      <c r="A102" s="178" t="s">
        <v>288</v>
      </c>
      <c r="B102" s="182">
        <v>9600</v>
      </c>
      <c r="C102" s="185">
        <v>0.03</v>
      </c>
      <c r="D102" s="202"/>
    </row>
    <row r="103" spans="1:4" x14ac:dyDescent="0.35">
      <c r="A103" s="178" t="s">
        <v>289</v>
      </c>
      <c r="B103" s="182">
        <v>22552</v>
      </c>
      <c r="C103" s="185">
        <v>0.03</v>
      </c>
      <c r="D103" s="202"/>
    </row>
    <row r="104" spans="1:4" x14ac:dyDescent="0.35">
      <c r="A104" s="178" t="s">
        <v>290</v>
      </c>
      <c r="B104" s="182">
        <v>5528</v>
      </c>
      <c r="C104" s="185">
        <v>0.03</v>
      </c>
      <c r="D104" s="202"/>
    </row>
    <row r="105" spans="1:4" x14ac:dyDescent="0.35">
      <c r="A105" s="178" t="s">
        <v>291</v>
      </c>
      <c r="B105" s="182">
        <v>37680</v>
      </c>
      <c r="C105" s="185">
        <v>0.03</v>
      </c>
      <c r="D105" s="202"/>
    </row>
    <row r="106" spans="1:4" x14ac:dyDescent="0.35">
      <c r="A106" s="178" t="s">
        <v>292</v>
      </c>
      <c r="B106" s="182">
        <v>16500</v>
      </c>
      <c r="C106" s="185">
        <v>0.05</v>
      </c>
      <c r="D106" s="202"/>
    </row>
    <row r="107" spans="1:4" x14ac:dyDescent="0.35">
      <c r="A107" s="178" t="s">
        <v>293</v>
      </c>
      <c r="B107" s="182">
        <v>25283</v>
      </c>
      <c r="C107" s="185">
        <v>0.04</v>
      </c>
      <c r="D107" s="202"/>
    </row>
    <row r="108" spans="1:4" x14ac:dyDescent="0.35">
      <c r="A108" s="178" t="s">
        <v>294</v>
      </c>
      <c r="B108" s="182">
        <v>8912</v>
      </c>
      <c r="C108" s="185">
        <v>0.04</v>
      </c>
      <c r="D108" s="202"/>
    </row>
    <row r="109" spans="1:4" x14ac:dyDescent="0.35">
      <c r="A109" s="178" t="s">
        <v>295</v>
      </c>
      <c r="B109" s="182">
        <v>50694</v>
      </c>
      <c r="C109" s="185">
        <v>0.04</v>
      </c>
      <c r="D109" s="202"/>
    </row>
    <row r="110" spans="1:4" x14ac:dyDescent="0.35">
      <c r="A110" s="178" t="s">
        <v>296</v>
      </c>
      <c r="B110" s="182">
        <v>5400</v>
      </c>
      <c r="C110" s="185">
        <v>0.02</v>
      </c>
      <c r="D110" s="202"/>
    </row>
    <row r="111" spans="1:4" x14ac:dyDescent="0.35">
      <c r="A111" s="178" t="s">
        <v>297</v>
      </c>
      <c r="B111" s="182">
        <v>8238</v>
      </c>
      <c r="C111" s="185">
        <v>0.01</v>
      </c>
      <c r="D111" s="202"/>
    </row>
    <row r="112" spans="1:4" x14ac:dyDescent="0.35">
      <c r="A112" s="178" t="s">
        <v>298</v>
      </c>
      <c r="B112" s="182">
        <v>1227</v>
      </c>
      <c r="C112" s="185">
        <v>0.01</v>
      </c>
      <c r="D112" s="202"/>
    </row>
    <row r="113" spans="1:4" x14ac:dyDescent="0.35">
      <c r="A113" s="178" t="s">
        <v>299</v>
      </c>
      <c r="B113" s="182">
        <v>14864</v>
      </c>
      <c r="C113" s="185">
        <v>0.01</v>
      </c>
      <c r="D113" s="202"/>
    </row>
    <row r="114" spans="1:4" x14ac:dyDescent="0.35">
      <c r="A114" s="178" t="s">
        <v>300</v>
      </c>
      <c r="B114" s="182" t="s">
        <v>164</v>
      </c>
      <c r="C114" s="185">
        <v>0</v>
      </c>
      <c r="D114" s="202"/>
    </row>
    <row r="115" spans="1:4" x14ac:dyDescent="0.35">
      <c r="A115" s="178" t="s">
        <v>301</v>
      </c>
      <c r="B115" s="182">
        <v>2746</v>
      </c>
      <c r="C115" s="185">
        <v>0</v>
      </c>
      <c r="D115" s="202"/>
    </row>
    <row r="116" spans="1:4" x14ac:dyDescent="0.35">
      <c r="A116" s="178" t="s">
        <v>302</v>
      </c>
      <c r="B116" s="182" t="s">
        <v>164</v>
      </c>
      <c r="C116" s="185">
        <v>0</v>
      </c>
      <c r="D116" s="202"/>
    </row>
    <row r="117" spans="1:4" x14ac:dyDescent="0.35">
      <c r="A117" s="178" t="s">
        <v>303</v>
      </c>
      <c r="B117" s="182">
        <v>4262</v>
      </c>
      <c r="C117" s="185">
        <v>0</v>
      </c>
      <c r="D117" s="202"/>
    </row>
    <row r="118" spans="1:4" x14ac:dyDescent="0.35">
      <c r="A118" s="178" t="s">
        <v>304</v>
      </c>
      <c r="B118" s="182">
        <v>6300</v>
      </c>
      <c r="C118" s="185">
        <v>0.02</v>
      </c>
      <c r="D118" s="202"/>
    </row>
    <row r="119" spans="1:4" x14ac:dyDescent="0.35">
      <c r="A119" s="178" t="s">
        <v>305</v>
      </c>
      <c r="B119" s="182">
        <v>14004</v>
      </c>
      <c r="C119" s="185">
        <v>0.02</v>
      </c>
      <c r="D119" s="202"/>
    </row>
    <row r="120" spans="1:4" x14ac:dyDescent="0.35">
      <c r="A120" s="178" t="s">
        <v>306</v>
      </c>
      <c r="B120" s="182">
        <v>4299</v>
      </c>
      <c r="C120" s="185">
        <v>0.02</v>
      </c>
      <c r="D120" s="202"/>
    </row>
    <row r="121" spans="1:4" x14ac:dyDescent="0.35">
      <c r="A121" s="178" t="s">
        <v>307</v>
      </c>
      <c r="B121" s="182">
        <v>24603</v>
      </c>
      <c r="C121" s="185">
        <v>0.02</v>
      </c>
      <c r="D121" s="202"/>
    </row>
    <row r="122" spans="1:4" x14ac:dyDescent="0.35">
      <c r="A122" s="178" t="s">
        <v>308</v>
      </c>
      <c r="B122" s="182">
        <v>20100</v>
      </c>
      <c r="C122" s="185">
        <v>0.06</v>
      </c>
      <c r="D122" s="202"/>
    </row>
    <row r="123" spans="1:4" x14ac:dyDescent="0.35">
      <c r="A123" s="178" t="s">
        <v>309</v>
      </c>
      <c r="B123" s="182">
        <v>37156</v>
      </c>
      <c r="C123" s="185">
        <v>0.05</v>
      </c>
      <c r="D123" s="202"/>
    </row>
    <row r="124" spans="1:4" x14ac:dyDescent="0.35">
      <c r="A124" s="178" t="s">
        <v>310</v>
      </c>
      <c r="B124" s="182">
        <v>11673</v>
      </c>
      <c r="C124" s="185">
        <v>0.05</v>
      </c>
      <c r="D124" s="202"/>
    </row>
    <row r="125" spans="1:4" x14ac:dyDescent="0.35">
      <c r="A125" s="178" t="s">
        <v>311</v>
      </c>
      <c r="B125" s="182">
        <v>68929</v>
      </c>
      <c r="C125" s="185">
        <v>0.06</v>
      </c>
      <c r="D125" s="202"/>
    </row>
    <row r="126" spans="1:4" x14ac:dyDescent="0.35">
      <c r="A126" s="178" t="s">
        <v>312</v>
      </c>
      <c r="B126" s="182">
        <v>5100</v>
      </c>
      <c r="C126" s="185">
        <v>0.02</v>
      </c>
      <c r="D126" s="202"/>
    </row>
    <row r="127" spans="1:4" x14ac:dyDescent="0.35">
      <c r="A127" s="178" t="s">
        <v>313</v>
      </c>
      <c r="B127" s="182">
        <v>12189</v>
      </c>
      <c r="C127" s="185">
        <v>0.02</v>
      </c>
      <c r="D127" s="202"/>
    </row>
    <row r="128" spans="1:4" x14ac:dyDescent="0.35">
      <c r="A128" s="178" t="s">
        <v>314</v>
      </c>
      <c r="B128" s="182">
        <v>4000</v>
      </c>
      <c r="C128" s="185">
        <v>0.02</v>
      </c>
      <c r="D128" s="202"/>
    </row>
    <row r="129" spans="1:6" x14ac:dyDescent="0.35">
      <c r="A129" s="178" t="s">
        <v>315</v>
      </c>
      <c r="B129" s="182">
        <v>21289</v>
      </c>
      <c r="C129" s="185">
        <v>0.02</v>
      </c>
      <c r="D129" s="202"/>
    </row>
    <row r="130" spans="1:6" x14ac:dyDescent="0.35">
      <c r="A130" s="178" t="s">
        <v>316</v>
      </c>
      <c r="B130" s="182">
        <v>339900</v>
      </c>
      <c r="C130" s="185">
        <v>1</v>
      </c>
      <c r="D130" s="202"/>
    </row>
    <row r="131" spans="1:6" x14ac:dyDescent="0.35">
      <c r="A131" s="178" t="s">
        <v>317</v>
      </c>
      <c r="B131" s="182">
        <v>694725</v>
      </c>
      <c r="C131" s="185">
        <v>1</v>
      </c>
      <c r="D131" s="202"/>
    </row>
    <row r="132" spans="1:6" x14ac:dyDescent="0.35">
      <c r="A132" s="178" t="s">
        <v>318</v>
      </c>
      <c r="B132" s="182">
        <v>219757</v>
      </c>
      <c r="C132" s="185">
        <v>1</v>
      </c>
      <c r="D132" s="202"/>
    </row>
    <row r="133" spans="1:6" x14ac:dyDescent="0.35">
      <c r="A133" s="178" t="s">
        <v>319</v>
      </c>
      <c r="B133" s="182">
        <v>1254382</v>
      </c>
      <c r="C133" s="185">
        <v>1</v>
      </c>
      <c r="D133" s="202"/>
    </row>
    <row r="134" spans="1:6" x14ac:dyDescent="0.35">
      <c r="A134" s="178" t="s">
        <v>340</v>
      </c>
      <c r="B134" s="175">
        <v>0</v>
      </c>
      <c r="C134" s="186">
        <v>0</v>
      </c>
      <c r="D134" s="203"/>
      <c r="E134" s="175"/>
      <c r="F134" s="176"/>
    </row>
    <row r="135" spans="1:6" x14ac:dyDescent="0.35">
      <c r="A135" s="178" t="s">
        <v>342</v>
      </c>
      <c r="B135" s="175">
        <v>0</v>
      </c>
      <c r="C135" s="186">
        <v>0</v>
      </c>
      <c r="D135" s="203"/>
      <c r="E135" s="175"/>
      <c r="F135" s="176"/>
    </row>
    <row r="136" spans="1:6" x14ac:dyDescent="0.35">
      <c r="A136" s="178" t="s">
        <v>343</v>
      </c>
      <c r="B136" s="175">
        <v>0</v>
      </c>
      <c r="C136" s="186">
        <v>0</v>
      </c>
      <c r="D136" s="203"/>
      <c r="E136" s="175"/>
      <c r="F136" s="175"/>
    </row>
    <row r="137" spans="1:6" x14ac:dyDescent="0.35">
      <c r="A137" s="178" t="s">
        <v>341</v>
      </c>
      <c r="B137" s="175">
        <v>0</v>
      </c>
      <c r="C137" s="186">
        <v>0</v>
      </c>
      <c r="D137" s="203"/>
      <c r="E137" s="175"/>
      <c r="F137" s="175"/>
    </row>
    <row r="138" spans="1:6" x14ac:dyDescent="0.35">
      <c r="A138" s="178" t="s">
        <v>320</v>
      </c>
      <c r="B138" s="182">
        <v>4500</v>
      </c>
      <c r="C138" s="185">
        <v>0.01</v>
      </c>
      <c r="D138" s="202"/>
    </row>
    <row r="139" spans="1:6" x14ac:dyDescent="0.35">
      <c r="A139" s="178" t="s">
        <v>321</v>
      </c>
      <c r="B139" s="182">
        <v>12179</v>
      </c>
      <c r="C139" s="185">
        <v>0.02</v>
      </c>
      <c r="D139" s="202"/>
    </row>
    <row r="140" spans="1:6" x14ac:dyDescent="0.35">
      <c r="A140" s="178" t="s">
        <v>322</v>
      </c>
      <c r="B140" s="182">
        <v>5226</v>
      </c>
      <c r="C140" s="185">
        <v>0.02</v>
      </c>
      <c r="D140" s="202"/>
    </row>
    <row r="141" spans="1:6" x14ac:dyDescent="0.35">
      <c r="A141" s="178" t="s">
        <v>323</v>
      </c>
      <c r="B141" s="182">
        <v>21905</v>
      </c>
      <c r="C141" s="185">
        <v>0.02</v>
      </c>
      <c r="D141" s="202"/>
    </row>
    <row r="142" spans="1:6" x14ac:dyDescent="0.35">
      <c r="A142" s="178" t="s">
        <v>324</v>
      </c>
      <c r="B142" s="182">
        <v>15600</v>
      </c>
      <c r="C142" s="185">
        <v>0.05</v>
      </c>
      <c r="D142" s="202"/>
    </row>
    <row r="143" spans="1:6" x14ac:dyDescent="0.35">
      <c r="A143" s="178" t="s">
        <v>325</v>
      </c>
      <c r="B143" s="182">
        <v>28654</v>
      </c>
      <c r="C143" s="185">
        <v>0.04</v>
      </c>
      <c r="D143" s="202"/>
    </row>
    <row r="144" spans="1:6" x14ac:dyDescent="0.35">
      <c r="A144" s="178" t="s">
        <v>326</v>
      </c>
      <c r="B144" s="182">
        <v>8610</v>
      </c>
      <c r="C144" s="185">
        <v>0.04</v>
      </c>
      <c r="D144" s="202"/>
    </row>
    <row r="145" spans="1:4" x14ac:dyDescent="0.35">
      <c r="A145" s="178" t="s">
        <v>327</v>
      </c>
      <c r="B145" s="182">
        <v>52864</v>
      </c>
      <c r="C145" s="185">
        <v>0.04</v>
      </c>
      <c r="D145" s="202"/>
    </row>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75" zoomScaleNormal="75" workbookViewId="0"/>
  </sheetViews>
  <sheetFormatPr defaultRowHeight="14.5" x14ac:dyDescent="0.35"/>
  <cols>
    <col min="1" max="1" width="26.453125" style="4" customWidth="1"/>
    <col min="2" max="2" width="12.81640625" style="4" customWidth="1"/>
    <col min="3" max="3" width="14.6328125" style="4" customWidth="1"/>
    <col min="4" max="4" width="16.6328125" style="4" customWidth="1"/>
    <col min="5" max="5" width="13.54296875" style="4" customWidth="1"/>
    <col min="6" max="6" width="14.54296875" style="4" customWidth="1"/>
    <col min="7" max="7" width="16.1796875" style="4" customWidth="1"/>
    <col min="8" max="8" width="19" style="4" customWidth="1"/>
    <col min="9" max="9" width="15.7265625" style="4" customWidth="1"/>
    <col min="10" max="10" width="16.1796875" style="4" customWidth="1"/>
    <col min="11" max="11" width="8.7265625" style="4"/>
    <col min="12" max="12" width="10.26953125" style="4" customWidth="1"/>
    <col min="13" max="16384" width="8.7265625" style="4"/>
  </cols>
  <sheetData>
    <row r="1" spans="1:10" ht="21" x14ac:dyDescent="0.5">
      <c r="A1" s="226" t="s">
        <v>17</v>
      </c>
    </row>
    <row r="2" spans="1:10" ht="15.5" x14ac:dyDescent="0.35">
      <c r="A2" s="209" t="s">
        <v>43</v>
      </c>
    </row>
    <row r="3" spans="1:10" ht="15.5" x14ac:dyDescent="0.35">
      <c r="A3" s="210" t="s">
        <v>44</v>
      </c>
    </row>
    <row r="4" spans="1:10" ht="62" x14ac:dyDescent="0.35">
      <c r="A4" s="65" t="s">
        <v>181</v>
      </c>
      <c r="B4" s="126" t="s">
        <v>66</v>
      </c>
      <c r="C4" s="126" t="s">
        <v>67</v>
      </c>
      <c r="D4" s="66" t="s">
        <v>165</v>
      </c>
      <c r="E4" s="65" t="s">
        <v>68</v>
      </c>
      <c r="F4" s="66" t="s">
        <v>69</v>
      </c>
      <c r="G4" s="65" t="s">
        <v>70</v>
      </c>
      <c r="H4" s="66" t="s">
        <v>71</v>
      </c>
      <c r="I4" s="65" t="s">
        <v>72</v>
      </c>
      <c r="J4" s="66" t="s">
        <v>73</v>
      </c>
    </row>
    <row r="5" spans="1:10" ht="15.5" x14ac:dyDescent="0.35">
      <c r="A5" s="20" t="s">
        <v>7</v>
      </c>
      <c r="B5" s="5">
        <v>6205</v>
      </c>
      <c r="C5" s="211">
        <v>1</v>
      </c>
      <c r="D5" s="5">
        <v>5895</v>
      </c>
      <c r="E5" s="5">
        <v>4190</v>
      </c>
      <c r="F5" s="5">
        <v>1585</v>
      </c>
      <c r="G5" s="5">
        <v>120</v>
      </c>
      <c r="H5" s="212">
        <v>0.71</v>
      </c>
      <c r="I5" s="212">
        <v>0.27</v>
      </c>
      <c r="J5" s="212">
        <v>0.02</v>
      </c>
    </row>
    <row r="6" spans="1:10" ht="15.5" x14ac:dyDescent="0.35">
      <c r="A6" s="213" t="s">
        <v>45</v>
      </c>
      <c r="B6" s="28">
        <v>370</v>
      </c>
      <c r="C6" s="214">
        <v>0.06</v>
      </c>
      <c r="D6" s="28">
        <v>25</v>
      </c>
      <c r="E6" s="23">
        <v>20</v>
      </c>
      <c r="F6" s="28">
        <v>5</v>
      </c>
      <c r="G6" s="23" t="s">
        <v>164</v>
      </c>
      <c r="H6" s="214">
        <v>0.67</v>
      </c>
      <c r="I6" s="215" t="s">
        <v>164</v>
      </c>
      <c r="J6" s="215" t="s">
        <v>164</v>
      </c>
    </row>
    <row r="7" spans="1:10" ht="15.5" x14ac:dyDescent="0.35">
      <c r="A7" s="213" t="s">
        <v>46</v>
      </c>
      <c r="B7" s="28">
        <v>385</v>
      </c>
      <c r="C7" s="214">
        <v>0.06</v>
      </c>
      <c r="D7" s="28">
        <v>345</v>
      </c>
      <c r="E7" s="23">
        <v>320</v>
      </c>
      <c r="F7" s="28">
        <v>20</v>
      </c>
      <c r="G7" s="23">
        <v>5</v>
      </c>
      <c r="H7" s="214">
        <v>0.92</v>
      </c>
      <c r="I7" s="214">
        <v>0.06</v>
      </c>
      <c r="J7" s="214">
        <v>0.02</v>
      </c>
    </row>
    <row r="8" spans="1:10" ht="15.5" x14ac:dyDescent="0.35">
      <c r="A8" s="213" t="s">
        <v>47</v>
      </c>
      <c r="B8" s="28">
        <v>355</v>
      </c>
      <c r="C8" s="214">
        <v>0.06</v>
      </c>
      <c r="D8" s="28">
        <v>310</v>
      </c>
      <c r="E8" s="23">
        <v>265</v>
      </c>
      <c r="F8" s="28">
        <v>30</v>
      </c>
      <c r="G8" s="23">
        <v>10</v>
      </c>
      <c r="H8" s="214">
        <v>0.86</v>
      </c>
      <c r="I8" s="214">
        <v>0.1</v>
      </c>
      <c r="J8" s="214">
        <v>0.04</v>
      </c>
    </row>
    <row r="9" spans="1:10" ht="15.5" x14ac:dyDescent="0.35">
      <c r="A9" s="143" t="s">
        <v>48</v>
      </c>
      <c r="B9" s="28">
        <v>270</v>
      </c>
      <c r="C9" s="214">
        <v>0.04</v>
      </c>
      <c r="D9" s="28">
        <v>290</v>
      </c>
      <c r="E9" s="23">
        <v>240</v>
      </c>
      <c r="F9" s="28">
        <v>35</v>
      </c>
      <c r="G9" s="23">
        <v>15</v>
      </c>
      <c r="H9" s="214">
        <v>0.83</v>
      </c>
      <c r="I9" s="214">
        <v>0.13</v>
      </c>
      <c r="J9" s="214">
        <v>0.04</v>
      </c>
    </row>
    <row r="10" spans="1:10" ht="15.5" x14ac:dyDescent="0.35">
      <c r="A10" s="143" t="s">
        <v>49</v>
      </c>
      <c r="B10" s="28">
        <v>225</v>
      </c>
      <c r="C10" s="214">
        <v>0.04</v>
      </c>
      <c r="D10" s="28">
        <v>230</v>
      </c>
      <c r="E10" s="23">
        <v>195</v>
      </c>
      <c r="F10" s="28">
        <v>30</v>
      </c>
      <c r="G10" s="23">
        <v>5</v>
      </c>
      <c r="H10" s="214">
        <v>0.85</v>
      </c>
      <c r="I10" s="215">
        <v>0.13</v>
      </c>
      <c r="J10" s="215">
        <v>0.02</v>
      </c>
    </row>
    <row r="11" spans="1:10" ht="15.5" x14ac:dyDescent="0.35">
      <c r="A11" s="143" t="s">
        <v>50</v>
      </c>
      <c r="B11" s="28">
        <v>150</v>
      </c>
      <c r="C11" s="214">
        <v>0.02</v>
      </c>
      <c r="D11" s="28">
        <v>205</v>
      </c>
      <c r="E11" s="23">
        <v>150</v>
      </c>
      <c r="F11" s="28">
        <v>50</v>
      </c>
      <c r="G11" s="23">
        <v>10</v>
      </c>
      <c r="H11" s="214">
        <v>0.72</v>
      </c>
      <c r="I11" s="214">
        <v>0.24</v>
      </c>
      <c r="J11" s="214">
        <v>0.04</v>
      </c>
    </row>
    <row r="12" spans="1:10" ht="15.5" x14ac:dyDescent="0.35">
      <c r="A12" s="143" t="s">
        <v>51</v>
      </c>
      <c r="B12" s="28">
        <v>170</v>
      </c>
      <c r="C12" s="214">
        <v>0.03</v>
      </c>
      <c r="D12" s="28">
        <v>150</v>
      </c>
      <c r="E12" s="23">
        <v>105</v>
      </c>
      <c r="F12" s="28">
        <v>40</v>
      </c>
      <c r="G12" s="23">
        <v>5</v>
      </c>
      <c r="H12" s="214">
        <v>0.72</v>
      </c>
      <c r="I12" s="214">
        <v>0.26</v>
      </c>
      <c r="J12" s="214">
        <v>0.02</v>
      </c>
    </row>
    <row r="13" spans="1:10" ht="15.5" x14ac:dyDescent="0.35">
      <c r="A13" s="143" t="s">
        <v>52</v>
      </c>
      <c r="B13" s="28">
        <v>165</v>
      </c>
      <c r="C13" s="214">
        <v>0.03</v>
      </c>
      <c r="D13" s="28">
        <v>240</v>
      </c>
      <c r="E13" s="23">
        <v>125</v>
      </c>
      <c r="F13" s="28">
        <v>115</v>
      </c>
      <c r="G13" s="23">
        <v>5</v>
      </c>
      <c r="H13" s="214">
        <v>0.51</v>
      </c>
      <c r="I13" s="214">
        <v>0.47</v>
      </c>
      <c r="J13" s="214">
        <v>0.02</v>
      </c>
    </row>
    <row r="14" spans="1:10" ht="15.5" x14ac:dyDescent="0.35">
      <c r="A14" s="143" t="s">
        <v>53</v>
      </c>
      <c r="B14" s="28">
        <v>225</v>
      </c>
      <c r="C14" s="214">
        <v>0.04</v>
      </c>
      <c r="D14" s="28">
        <v>310</v>
      </c>
      <c r="E14" s="23">
        <v>145</v>
      </c>
      <c r="F14" s="28">
        <v>155</v>
      </c>
      <c r="G14" s="23">
        <v>10</v>
      </c>
      <c r="H14" s="214">
        <v>0.47</v>
      </c>
      <c r="I14" s="214">
        <v>0.5</v>
      </c>
      <c r="J14" s="214">
        <v>0.03</v>
      </c>
    </row>
    <row r="15" spans="1:10" ht="15.5" x14ac:dyDescent="0.35">
      <c r="A15" s="143" t="s">
        <v>54</v>
      </c>
      <c r="B15" s="28">
        <v>135</v>
      </c>
      <c r="C15" s="214">
        <v>0.02</v>
      </c>
      <c r="D15" s="28">
        <v>190</v>
      </c>
      <c r="E15" s="23">
        <v>145</v>
      </c>
      <c r="F15" s="28">
        <v>45</v>
      </c>
      <c r="G15" s="28" t="s">
        <v>164</v>
      </c>
      <c r="H15" s="214">
        <v>0.76</v>
      </c>
      <c r="I15" s="28" t="s">
        <v>164</v>
      </c>
      <c r="J15" s="28" t="s">
        <v>164</v>
      </c>
    </row>
    <row r="16" spans="1:10" ht="15.5" x14ac:dyDescent="0.35">
      <c r="A16" s="143" t="s">
        <v>55</v>
      </c>
      <c r="B16" s="28">
        <v>180</v>
      </c>
      <c r="C16" s="214">
        <v>0.03</v>
      </c>
      <c r="D16" s="28">
        <v>120</v>
      </c>
      <c r="E16" s="23">
        <v>100</v>
      </c>
      <c r="F16" s="28">
        <v>20</v>
      </c>
      <c r="G16" s="28" t="s">
        <v>164</v>
      </c>
      <c r="H16" s="214">
        <v>0.83</v>
      </c>
      <c r="I16" s="28" t="s">
        <v>164</v>
      </c>
      <c r="J16" s="28" t="s">
        <v>164</v>
      </c>
    </row>
    <row r="17" spans="1:11" ht="15.5" x14ac:dyDescent="0.35">
      <c r="A17" s="143" t="s">
        <v>56</v>
      </c>
      <c r="B17" s="28">
        <v>205</v>
      </c>
      <c r="C17" s="214">
        <v>0.03</v>
      </c>
      <c r="D17" s="28">
        <v>230</v>
      </c>
      <c r="E17" s="23">
        <v>130</v>
      </c>
      <c r="F17" s="28">
        <v>100</v>
      </c>
      <c r="G17" s="28" t="s">
        <v>164</v>
      </c>
      <c r="H17" s="214">
        <v>0.56000000000000005</v>
      </c>
      <c r="I17" s="28" t="s">
        <v>164</v>
      </c>
      <c r="J17" s="28" t="s">
        <v>164</v>
      </c>
    </row>
    <row r="18" spans="1:11" ht="15.5" x14ac:dyDescent="0.35">
      <c r="A18" s="143" t="s">
        <v>57</v>
      </c>
      <c r="B18" s="28">
        <v>295</v>
      </c>
      <c r="C18" s="214">
        <v>0.05</v>
      </c>
      <c r="D18" s="28">
        <v>225</v>
      </c>
      <c r="E18" s="23">
        <v>105</v>
      </c>
      <c r="F18" s="28">
        <v>115</v>
      </c>
      <c r="G18" s="28" t="s">
        <v>164</v>
      </c>
      <c r="H18" s="214">
        <v>0.48</v>
      </c>
      <c r="I18" s="28" t="s">
        <v>164</v>
      </c>
      <c r="J18" s="28" t="s">
        <v>164</v>
      </c>
    </row>
    <row r="19" spans="1:11" ht="15.5" x14ac:dyDescent="0.35">
      <c r="A19" s="143" t="s">
        <v>58</v>
      </c>
      <c r="B19" s="28">
        <v>575</v>
      </c>
      <c r="C19" s="214">
        <v>0.09</v>
      </c>
      <c r="D19" s="28">
        <v>340</v>
      </c>
      <c r="E19" s="23">
        <v>210</v>
      </c>
      <c r="F19" s="28">
        <v>105</v>
      </c>
      <c r="G19" s="23">
        <v>30</v>
      </c>
      <c r="H19" s="214">
        <v>0.61</v>
      </c>
      <c r="I19" s="214">
        <v>0.31</v>
      </c>
      <c r="J19" s="214">
        <v>0.08</v>
      </c>
    </row>
    <row r="20" spans="1:11" ht="15.5" x14ac:dyDescent="0.35">
      <c r="A20" s="143" t="s">
        <v>59</v>
      </c>
      <c r="B20" s="28">
        <v>380</v>
      </c>
      <c r="C20" s="214">
        <v>0.06</v>
      </c>
      <c r="D20" s="28">
        <v>460</v>
      </c>
      <c r="E20" s="23">
        <v>335</v>
      </c>
      <c r="F20" s="28">
        <v>120</v>
      </c>
      <c r="G20" s="23">
        <v>5</v>
      </c>
      <c r="H20" s="214">
        <v>0.73</v>
      </c>
      <c r="I20" s="214">
        <v>0.26</v>
      </c>
      <c r="J20" s="214">
        <v>0.01</v>
      </c>
    </row>
    <row r="21" spans="1:11" ht="15.5" x14ac:dyDescent="0.35">
      <c r="A21" s="143" t="s">
        <v>60</v>
      </c>
      <c r="B21" s="28">
        <v>385</v>
      </c>
      <c r="C21" s="214">
        <v>0.06</v>
      </c>
      <c r="D21" s="28">
        <v>450</v>
      </c>
      <c r="E21" s="23">
        <v>325</v>
      </c>
      <c r="F21" s="28">
        <v>120</v>
      </c>
      <c r="G21" s="23">
        <v>5</v>
      </c>
      <c r="H21" s="214">
        <v>0.73</v>
      </c>
      <c r="I21" s="214">
        <v>0.27</v>
      </c>
      <c r="J21" s="214">
        <v>0.01</v>
      </c>
    </row>
    <row r="22" spans="1:11" ht="15.5" x14ac:dyDescent="0.35">
      <c r="A22" s="143" t="s">
        <v>61</v>
      </c>
      <c r="B22" s="28">
        <v>335</v>
      </c>
      <c r="C22" s="214">
        <v>0.05</v>
      </c>
      <c r="D22" s="28">
        <v>370</v>
      </c>
      <c r="E22" s="23">
        <v>270</v>
      </c>
      <c r="F22" s="28">
        <v>95</v>
      </c>
      <c r="G22" s="23">
        <v>5</v>
      </c>
      <c r="H22" s="214">
        <v>0.73</v>
      </c>
      <c r="I22" s="214">
        <v>0.26</v>
      </c>
      <c r="J22" s="214">
        <v>0.01</v>
      </c>
    </row>
    <row r="23" spans="1:11" ht="15.5" x14ac:dyDescent="0.35">
      <c r="A23" s="143" t="s">
        <v>62</v>
      </c>
      <c r="B23" s="28">
        <v>330</v>
      </c>
      <c r="C23" s="214">
        <v>0.05</v>
      </c>
      <c r="D23" s="28">
        <v>390</v>
      </c>
      <c r="E23" s="23">
        <v>295</v>
      </c>
      <c r="F23" s="28">
        <v>90</v>
      </c>
      <c r="G23" s="23">
        <v>5</v>
      </c>
      <c r="H23" s="214">
        <v>0.75</v>
      </c>
      <c r="I23" s="214">
        <v>0.23</v>
      </c>
      <c r="J23" s="214">
        <v>0.02</v>
      </c>
    </row>
    <row r="24" spans="1:11" ht="15.5" x14ac:dyDescent="0.35">
      <c r="A24" s="143" t="s">
        <v>63</v>
      </c>
      <c r="B24" s="28">
        <v>265</v>
      </c>
      <c r="C24" s="214">
        <v>0.04</v>
      </c>
      <c r="D24" s="28">
        <v>275</v>
      </c>
      <c r="E24" s="23">
        <v>205</v>
      </c>
      <c r="F24" s="28">
        <v>70</v>
      </c>
      <c r="G24" s="23" t="s">
        <v>164</v>
      </c>
      <c r="H24" s="214">
        <v>0.74</v>
      </c>
      <c r="I24" s="28" t="s">
        <v>164</v>
      </c>
      <c r="J24" s="23" t="s">
        <v>164</v>
      </c>
    </row>
    <row r="25" spans="1:11" ht="15.5" x14ac:dyDescent="0.35">
      <c r="A25" s="143" t="s">
        <v>64</v>
      </c>
      <c r="B25" s="28">
        <v>270</v>
      </c>
      <c r="C25" s="214">
        <v>0.04</v>
      </c>
      <c r="D25" s="28">
        <v>215</v>
      </c>
      <c r="E25" s="23">
        <v>140</v>
      </c>
      <c r="F25" s="28">
        <v>70</v>
      </c>
      <c r="G25" s="23" t="s">
        <v>164</v>
      </c>
      <c r="H25" s="214">
        <v>0.67</v>
      </c>
      <c r="I25" s="28" t="s">
        <v>164</v>
      </c>
      <c r="J25" s="23" t="s">
        <v>164</v>
      </c>
    </row>
    <row r="26" spans="1:11" ht="15.5" x14ac:dyDescent="0.35">
      <c r="A26" s="143" t="s">
        <v>65</v>
      </c>
      <c r="B26" s="28">
        <v>265</v>
      </c>
      <c r="C26" s="214">
        <v>0.04</v>
      </c>
      <c r="D26" s="28">
        <v>265</v>
      </c>
      <c r="E26" s="23">
        <v>170</v>
      </c>
      <c r="F26" s="28">
        <v>95</v>
      </c>
      <c r="G26" s="72">
        <v>0</v>
      </c>
      <c r="H26" s="214">
        <v>0.64</v>
      </c>
      <c r="I26" s="214">
        <v>0.36</v>
      </c>
      <c r="J26" s="214">
        <v>0</v>
      </c>
    </row>
    <row r="27" spans="1:11" ht="16" thickBot="1" x14ac:dyDescent="0.4">
      <c r="A27" s="143" t="s">
        <v>81</v>
      </c>
      <c r="B27" s="28">
        <v>280</v>
      </c>
      <c r="C27" s="214">
        <v>0.05</v>
      </c>
      <c r="D27" s="28">
        <v>260</v>
      </c>
      <c r="E27" s="23">
        <v>195</v>
      </c>
      <c r="F27" s="28">
        <v>60</v>
      </c>
      <c r="G27" s="23">
        <v>5</v>
      </c>
      <c r="H27" s="214">
        <v>0.76</v>
      </c>
      <c r="I27" s="214">
        <v>0.22</v>
      </c>
      <c r="J27" s="214">
        <v>0.01</v>
      </c>
    </row>
    <row r="28" spans="1:11" ht="15.5" x14ac:dyDescent="0.35">
      <c r="A28" s="31" t="s">
        <v>138</v>
      </c>
      <c r="B28" s="32">
        <v>1750</v>
      </c>
      <c r="C28" s="216">
        <v>0.28000000000000003</v>
      </c>
      <c r="D28" s="32">
        <v>1410</v>
      </c>
      <c r="E28" s="33">
        <v>1185</v>
      </c>
      <c r="F28" s="32">
        <v>175</v>
      </c>
      <c r="G28" s="33">
        <v>45</v>
      </c>
      <c r="H28" s="217">
        <v>0.84</v>
      </c>
      <c r="I28" s="217">
        <v>0.12</v>
      </c>
      <c r="J28" s="217">
        <v>0.03</v>
      </c>
    </row>
    <row r="29" spans="1:11" ht="15.5" x14ac:dyDescent="0.35">
      <c r="A29" s="27" t="s">
        <v>139</v>
      </c>
      <c r="B29" s="28">
        <v>3375</v>
      </c>
      <c r="C29" s="214">
        <v>0.54</v>
      </c>
      <c r="D29" s="28">
        <v>3470</v>
      </c>
      <c r="E29" s="23">
        <v>2290</v>
      </c>
      <c r="F29" s="28">
        <v>1115</v>
      </c>
      <c r="G29" s="23">
        <v>70</v>
      </c>
      <c r="H29" s="214">
        <v>0.66</v>
      </c>
      <c r="I29" s="214">
        <v>0.32</v>
      </c>
      <c r="J29" s="214">
        <v>0.02</v>
      </c>
    </row>
    <row r="30" spans="1:11" ht="15.5" x14ac:dyDescent="0.35">
      <c r="A30" s="27" t="s">
        <v>140</v>
      </c>
      <c r="B30" s="29">
        <v>1080</v>
      </c>
      <c r="C30" s="214">
        <v>0.17</v>
      </c>
      <c r="D30" s="29">
        <v>1015</v>
      </c>
      <c r="E30" s="23">
        <v>710</v>
      </c>
      <c r="F30" s="29">
        <v>295</v>
      </c>
      <c r="G30" s="23">
        <v>5</v>
      </c>
      <c r="H30" s="214">
        <v>0.7</v>
      </c>
      <c r="I30" s="214">
        <v>0.28999999999999998</v>
      </c>
      <c r="J30" s="214">
        <v>0</v>
      </c>
    </row>
    <row r="31" spans="1:11" x14ac:dyDescent="0.35">
      <c r="A31" s="223" t="s">
        <v>9</v>
      </c>
      <c r="B31" s="223"/>
      <c r="C31" s="223"/>
      <c r="D31" s="223"/>
      <c r="E31" s="223"/>
      <c r="F31" s="223"/>
      <c r="G31" s="223"/>
      <c r="H31" s="223"/>
      <c r="I31" s="223"/>
      <c r="J31" s="223"/>
      <c r="K31" s="223"/>
    </row>
    <row r="32" spans="1:11" ht="14.5" customHeight="1" x14ac:dyDescent="0.35">
      <c r="A32" s="68" t="s">
        <v>118</v>
      </c>
      <c r="C32" s="41"/>
      <c r="D32" s="41"/>
      <c r="E32" s="41"/>
      <c r="F32" s="41"/>
      <c r="G32" s="41"/>
      <c r="H32" s="41"/>
      <c r="I32" s="41"/>
      <c r="J32" s="41"/>
      <c r="K32" s="41"/>
    </row>
    <row r="33" spans="1:11" ht="14.5" customHeight="1" x14ac:dyDescent="0.35">
      <c r="A33" s="68" t="s">
        <v>84</v>
      </c>
      <c r="B33" s="41"/>
      <c r="C33" s="41"/>
      <c r="D33" s="41"/>
      <c r="E33" s="41"/>
      <c r="F33" s="41"/>
      <c r="G33" s="41"/>
      <c r="H33" s="41"/>
      <c r="I33" s="41"/>
      <c r="J33" s="41"/>
      <c r="K33" s="41"/>
    </row>
    <row r="34" spans="1:11" x14ac:dyDescent="0.35">
      <c r="A34" s="4" t="s">
        <v>85</v>
      </c>
    </row>
    <row r="35" spans="1:11" x14ac:dyDescent="0.35">
      <c r="A35" s="4" t="s">
        <v>86</v>
      </c>
    </row>
    <row r="36" spans="1:11" x14ac:dyDescent="0.35">
      <c r="A36" s="4" t="s">
        <v>87</v>
      </c>
    </row>
    <row r="37" spans="1:11" x14ac:dyDescent="0.35">
      <c r="A37" s="68" t="s">
        <v>88</v>
      </c>
      <c r="B37" s="68"/>
      <c r="C37" s="68"/>
      <c r="D37" s="68"/>
      <c r="E37" s="68"/>
      <c r="F37" s="68"/>
      <c r="G37" s="68"/>
      <c r="H37" s="68"/>
      <c r="I37" s="68"/>
      <c r="J37" s="68"/>
      <c r="K37" s="68"/>
    </row>
  </sheetData>
  <mergeCells count="1">
    <mergeCell ref="A31:K31"/>
  </mergeCells>
  <conditionalFormatting sqref="C5:C30">
    <cfRule type="dataBar" priority="1">
      <dataBar>
        <cfvo type="num" val="0"/>
        <cfvo type="num" val="1"/>
        <color rgb="FFB4A9D4"/>
      </dataBar>
      <extLst>
        <ext xmlns:x14="http://schemas.microsoft.com/office/spreadsheetml/2009/9/main" uri="{B025F937-C7B1-47D3-B67F-A62EFF666E3E}">
          <x14:id>{6180ADE2-945D-4C51-99AB-D1626998CA93}</x14:id>
        </ext>
      </extLst>
    </cfRule>
  </conditionalFormatting>
  <conditionalFormatting sqref="H5">
    <cfRule type="dataBar" priority="5">
      <dataBar>
        <cfvo type="num" val="0"/>
        <cfvo type="num" val="1"/>
        <color rgb="FFB4A9D4"/>
      </dataBar>
      <extLst>
        <ext xmlns:x14="http://schemas.microsoft.com/office/spreadsheetml/2009/9/main" uri="{B025F937-C7B1-47D3-B67F-A62EFF666E3E}">
          <x14:id>{7281F757-A9EC-43A6-A329-B946FB055DAF}</x14:id>
        </ext>
      </extLst>
    </cfRule>
  </conditionalFormatting>
  <conditionalFormatting sqref="I5:J5">
    <cfRule type="dataBar" priority="4">
      <dataBar>
        <cfvo type="num" val="0"/>
        <cfvo type="num" val="1"/>
        <color rgb="FFB4A9D4"/>
      </dataBar>
      <extLst>
        <ext xmlns:x14="http://schemas.microsoft.com/office/spreadsheetml/2009/9/main" uri="{B025F937-C7B1-47D3-B67F-A62EFF666E3E}">
          <x14:id>{B7723773-500D-409A-93E0-969315C8173D}</x14:id>
        </ext>
      </extLst>
    </cfRule>
  </conditionalFormatting>
  <conditionalFormatting sqref="H6:J14 H19:J23 H15:H18 H26:J30 H24:H25">
    <cfRule type="dataBar" priority="2">
      <dataBar>
        <cfvo type="num" val="0"/>
        <cfvo type="num" val="1"/>
        <color rgb="FFB4A9D4"/>
      </dataBar>
      <extLst>
        <ext xmlns:x14="http://schemas.microsoft.com/office/spreadsheetml/2009/9/main" uri="{B025F937-C7B1-47D3-B67F-A62EFF666E3E}">
          <x14:id>{2C5D033B-F562-4246-82DC-8692C58E5EBE}</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180ADE2-945D-4C51-99AB-D1626998CA93}">
            <x14:dataBar minLength="0" maxLength="100" gradient="0">
              <x14:cfvo type="num">
                <xm:f>0</xm:f>
              </x14:cfvo>
              <x14:cfvo type="num">
                <xm:f>1</xm:f>
              </x14:cfvo>
              <x14:negativeFillColor rgb="FFFF0000"/>
              <x14:axisColor rgb="FF000000"/>
            </x14:dataBar>
          </x14:cfRule>
          <xm:sqref>C5:C30</xm:sqref>
        </x14:conditionalFormatting>
        <x14:conditionalFormatting xmlns:xm="http://schemas.microsoft.com/office/excel/2006/main">
          <x14:cfRule type="dataBar" id="{7281F757-A9EC-43A6-A329-B946FB055DAF}">
            <x14:dataBar minLength="0" maxLength="100" gradient="0">
              <x14:cfvo type="num">
                <xm:f>0</xm:f>
              </x14:cfvo>
              <x14:cfvo type="num">
                <xm:f>1</xm:f>
              </x14:cfvo>
              <x14:negativeFillColor rgb="FFFF0000"/>
              <x14:axisColor rgb="FF000000"/>
            </x14:dataBar>
          </x14:cfRule>
          <xm:sqref>H5</xm:sqref>
        </x14:conditionalFormatting>
        <x14:conditionalFormatting xmlns:xm="http://schemas.microsoft.com/office/excel/2006/main">
          <x14:cfRule type="dataBar" id="{B7723773-500D-409A-93E0-969315C8173D}">
            <x14:dataBar minLength="0" maxLength="100" gradient="0">
              <x14:cfvo type="num">
                <xm:f>0</xm:f>
              </x14:cfvo>
              <x14:cfvo type="num">
                <xm:f>1</xm:f>
              </x14:cfvo>
              <x14:negativeFillColor rgb="FFFF0000"/>
              <x14:axisColor rgb="FF000000"/>
            </x14:dataBar>
          </x14:cfRule>
          <xm:sqref>I5:J5</xm:sqref>
        </x14:conditionalFormatting>
        <x14:conditionalFormatting xmlns:xm="http://schemas.microsoft.com/office/excel/2006/main">
          <x14:cfRule type="dataBar" id="{2C5D033B-F562-4246-82DC-8692C58E5EBE}">
            <x14:dataBar minLength="0" maxLength="100" gradient="0">
              <x14:cfvo type="num">
                <xm:f>0</xm:f>
              </x14:cfvo>
              <x14:cfvo type="num">
                <xm:f>1</xm:f>
              </x14:cfvo>
              <x14:negativeFillColor rgb="FFFF0000"/>
              <x14:axisColor rgb="FF000000"/>
            </x14:dataBar>
          </x14:cfRule>
          <xm:sqref>H6:J14 H19:J23 H15:H18 H26:J30 H24:H25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zoomScale="75" zoomScaleNormal="75" workbookViewId="0"/>
  </sheetViews>
  <sheetFormatPr defaultRowHeight="14.5" x14ac:dyDescent="0.35"/>
  <cols>
    <col min="1" max="1" width="21.7265625" customWidth="1"/>
    <col min="2" max="2" width="10.26953125" customWidth="1"/>
    <col min="3" max="3" width="13.36328125" customWidth="1"/>
    <col min="4" max="4" width="13.453125" customWidth="1"/>
    <col min="5" max="5" width="12.08984375" customWidth="1"/>
    <col min="6" max="6" width="13.81640625" customWidth="1"/>
    <col min="7" max="7" width="14.26953125" customWidth="1"/>
    <col min="8" max="8" width="15.36328125" customWidth="1"/>
    <col min="9" max="9" width="11.08984375" customWidth="1"/>
  </cols>
  <sheetData>
    <row r="1" spans="1:11" ht="21" x14ac:dyDescent="0.5">
      <c r="A1" s="38" t="s">
        <v>19</v>
      </c>
    </row>
    <row r="2" spans="1:11" ht="15.5" x14ac:dyDescent="0.35">
      <c r="A2" s="39" t="s">
        <v>82</v>
      </c>
    </row>
    <row r="3" spans="1:11" ht="15.5" x14ac:dyDescent="0.35">
      <c r="A3" s="40" t="s">
        <v>83</v>
      </c>
    </row>
    <row r="4" spans="1:11" ht="63.5" customHeight="1" x14ac:dyDescent="0.35">
      <c r="A4" s="35" t="s">
        <v>74</v>
      </c>
      <c r="B4" s="36" t="s">
        <v>7</v>
      </c>
      <c r="C4" s="36" t="s">
        <v>75</v>
      </c>
      <c r="D4" s="37" t="s">
        <v>76</v>
      </c>
      <c r="E4" s="37" t="s">
        <v>77</v>
      </c>
      <c r="F4" s="36" t="s">
        <v>78</v>
      </c>
      <c r="G4" s="37" t="s">
        <v>79</v>
      </c>
      <c r="H4" s="36" t="s">
        <v>80</v>
      </c>
    </row>
    <row r="5" spans="1:11" ht="15.5" x14ac:dyDescent="0.35">
      <c r="A5" s="80" t="s">
        <v>7</v>
      </c>
      <c r="B5" s="81">
        <v>6205</v>
      </c>
      <c r="C5" s="82">
        <v>5865</v>
      </c>
      <c r="D5" s="81">
        <v>120</v>
      </c>
      <c r="E5" s="82">
        <v>215</v>
      </c>
      <c r="F5" s="26">
        <v>0.95</v>
      </c>
      <c r="G5" s="162">
        <v>0.02</v>
      </c>
      <c r="H5" s="162">
        <v>0.03</v>
      </c>
    </row>
    <row r="6" spans="1:11" ht="16.5" customHeight="1" x14ac:dyDescent="0.35">
      <c r="A6" s="24" t="s">
        <v>45</v>
      </c>
      <c r="B6" s="79">
        <v>370</v>
      </c>
      <c r="C6" s="83">
        <v>330</v>
      </c>
      <c r="D6" s="79">
        <v>15</v>
      </c>
      <c r="E6" s="83">
        <v>25</v>
      </c>
      <c r="F6" s="160">
        <v>0.89</v>
      </c>
      <c r="G6" s="163">
        <v>0.05</v>
      </c>
      <c r="H6" s="163">
        <v>0.06</v>
      </c>
    </row>
    <row r="7" spans="1:11" ht="15.5" x14ac:dyDescent="0.35">
      <c r="A7" s="24" t="s">
        <v>46</v>
      </c>
      <c r="B7" s="79">
        <v>385</v>
      </c>
      <c r="C7" s="83">
        <v>340</v>
      </c>
      <c r="D7" s="79">
        <v>30</v>
      </c>
      <c r="E7" s="83">
        <v>15</v>
      </c>
      <c r="F7" s="161">
        <v>0.88</v>
      </c>
      <c r="G7" s="163">
        <v>7.0000000000000007E-2</v>
      </c>
      <c r="H7" s="163">
        <v>0.04</v>
      </c>
    </row>
    <row r="8" spans="1:11" ht="15.5" x14ac:dyDescent="0.35">
      <c r="A8" s="24" t="s">
        <v>47</v>
      </c>
      <c r="B8" s="79">
        <v>355</v>
      </c>
      <c r="C8" s="83">
        <v>335</v>
      </c>
      <c r="D8" s="79">
        <v>5</v>
      </c>
      <c r="E8" s="83">
        <v>15</v>
      </c>
      <c r="F8" s="161">
        <v>0.94</v>
      </c>
      <c r="G8" s="163">
        <v>0.02</v>
      </c>
      <c r="H8" s="163">
        <v>0.04</v>
      </c>
    </row>
    <row r="9" spans="1:11" ht="15.5" x14ac:dyDescent="0.35">
      <c r="A9" s="21" t="s">
        <v>48</v>
      </c>
      <c r="B9" s="79">
        <v>270</v>
      </c>
      <c r="C9" s="83">
        <v>245</v>
      </c>
      <c r="D9" s="79">
        <v>10</v>
      </c>
      <c r="E9" s="83">
        <v>15</v>
      </c>
      <c r="F9" s="161">
        <v>0.91</v>
      </c>
      <c r="G9" s="163">
        <v>0.04</v>
      </c>
      <c r="H9" s="163">
        <v>0.05</v>
      </c>
    </row>
    <row r="10" spans="1:11" ht="15.5" x14ac:dyDescent="0.35">
      <c r="A10" s="21" t="s">
        <v>49</v>
      </c>
      <c r="B10" s="79">
        <v>225</v>
      </c>
      <c r="C10" s="83">
        <v>210</v>
      </c>
      <c r="D10" s="79">
        <v>10</v>
      </c>
      <c r="E10" s="83">
        <v>5</v>
      </c>
      <c r="F10" s="218">
        <v>0.93</v>
      </c>
      <c r="G10" s="219">
        <v>0.04</v>
      </c>
      <c r="H10" s="219">
        <v>0.03</v>
      </c>
    </row>
    <row r="11" spans="1:11" ht="15.5" x14ac:dyDescent="0.35">
      <c r="A11" s="21" t="s">
        <v>50</v>
      </c>
      <c r="B11" s="79">
        <v>150</v>
      </c>
      <c r="C11" s="83">
        <v>125</v>
      </c>
      <c r="D11" s="79">
        <v>10</v>
      </c>
      <c r="E11" s="83">
        <v>15</v>
      </c>
      <c r="F11" s="218">
        <v>0.85</v>
      </c>
      <c r="G11" s="219">
        <v>0.06</v>
      </c>
      <c r="H11" s="219">
        <v>0.09</v>
      </c>
    </row>
    <row r="12" spans="1:11" ht="15.5" x14ac:dyDescent="0.35">
      <c r="A12" s="21" t="s">
        <v>51</v>
      </c>
      <c r="B12" s="79">
        <v>170</v>
      </c>
      <c r="C12" s="83">
        <v>165</v>
      </c>
      <c r="D12" s="79">
        <v>5</v>
      </c>
      <c r="E12" s="84" t="s">
        <v>164</v>
      </c>
      <c r="F12" s="218">
        <v>0.97</v>
      </c>
      <c r="G12" s="219" t="s">
        <v>164</v>
      </c>
      <c r="H12" s="219" t="s">
        <v>164</v>
      </c>
      <c r="J12" s="3"/>
      <c r="K12" s="3"/>
    </row>
    <row r="13" spans="1:11" ht="15.5" x14ac:dyDescent="0.35">
      <c r="A13" s="21" t="s">
        <v>52</v>
      </c>
      <c r="B13" s="79">
        <v>165</v>
      </c>
      <c r="C13" s="83">
        <v>160</v>
      </c>
      <c r="D13" s="79" t="s">
        <v>164</v>
      </c>
      <c r="E13" s="79" t="s">
        <v>164</v>
      </c>
      <c r="F13" s="218">
        <v>0.98</v>
      </c>
      <c r="G13" s="219" t="s">
        <v>164</v>
      </c>
      <c r="H13" s="219" t="s">
        <v>164</v>
      </c>
      <c r="J13" s="3"/>
      <c r="K13" s="3"/>
    </row>
    <row r="14" spans="1:11" ht="15.5" x14ac:dyDescent="0.35">
      <c r="A14" s="21" t="s">
        <v>53</v>
      </c>
      <c r="B14" s="79">
        <v>225</v>
      </c>
      <c r="C14" s="83">
        <v>220</v>
      </c>
      <c r="D14" s="79" t="s">
        <v>164</v>
      </c>
      <c r="E14" s="79">
        <v>5</v>
      </c>
      <c r="F14" s="218">
        <v>0.98</v>
      </c>
      <c r="G14" s="219" t="s">
        <v>164</v>
      </c>
      <c r="H14" s="219" t="s">
        <v>164</v>
      </c>
      <c r="J14" s="3"/>
      <c r="K14" s="3"/>
    </row>
    <row r="15" spans="1:11" ht="15.5" x14ac:dyDescent="0.35">
      <c r="A15" s="21" t="s">
        <v>54</v>
      </c>
      <c r="B15" s="79">
        <v>135</v>
      </c>
      <c r="C15" s="83">
        <v>130</v>
      </c>
      <c r="D15" s="79" t="s">
        <v>164</v>
      </c>
      <c r="E15" s="79">
        <v>5</v>
      </c>
      <c r="F15" s="218">
        <v>0.96</v>
      </c>
      <c r="G15" s="219" t="s">
        <v>164</v>
      </c>
      <c r="H15" s="219" t="s">
        <v>164</v>
      </c>
      <c r="J15" s="3"/>
      <c r="K15" s="3"/>
    </row>
    <row r="16" spans="1:11" ht="15.5" x14ac:dyDescent="0.35">
      <c r="A16" s="21" t="s">
        <v>55</v>
      </c>
      <c r="B16" s="79">
        <v>180</v>
      </c>
      <c r="C16" s="83">
        <v>170</v>
      </c>
      <c r="D16" s="79" t="s">
        <v>164</v>
      </c>
      <c r="E16" s="79">
        <v>5</v>
      </c>
      <c r="F16" s="218">
        <v>0.96</v>
      </c>
      <c r="G16" s="219" t="s">
        <v>164</v>
      </c>
      <c r="H16" s="219" t="s">
        <v>164</v>
      </c>
      <c r="J16" s="3"/>
      <c r="K16" s="3"/>
    </row>
    <row r="17" spans="1:11" ht="15.5" x14ac:dyDescent="0.35">
      <c r="A17" s="21" t="s">
        <v>56</v>
      </c>
      <c r="B17" s="79">
        <v>205</v>
      </c>
      <c r="C17" s="83">
        <v>200</v>
      </c>
      <c r="D17" s="79">
        <v>5</v>
      </c>
      <c r="E17" s="79" t="s">
        <v>164</v>
      </c>
      <c r="F17" s="218">
        <v>0.98</v>
      </c>
      <c r="G17" s="219" t="s">
        <v>164</v>
      </c>
      <c r="H17" s="219" t="s">
        <v>164</v>
      </c>
      <c r="J17" s="3"/>
      <c r="K17" s="3"/>
    </row>
    <row r="18" spans="1:11" ht="15.5" x14ac:dyDescent="0.35">
      <c r="A18" s="21" t="s">
        <v>57</v>
      </c>
      <c r="B18" s="79">
        <v>295</v>
      </c>
      <c r="C18" s="83">
        <v>285</v>
      </c>
      <c r="D18" s="79">
        <v>5</v>
      </c>
      <c r="E18" s="83">
        <v>5</v>
      </c>
      <c r="F18" s="218">
        <v>0.98</v>
      </c>
      <c r="G18" s="219">
        <v>0.01</v>
      </c>
      <c r="H18" s="219">
        <v>0.01</v>
      </c>
      <c r="J18" s="3"/>
      <c r="K18" s="3"/>
    </row>
    <row r="19" spans="1:11" ht="15.5" x14ac:dyDescent="0.35">
      <c r="A19" s="21" t="s">
        <v>58</v>
      </c>
      <c r="B19" s="79">
        <v>575</v>
      </c>
      <c r="C19" s="83">
        <v>550</v>
      </c>
      <c r="D19" s="79">
        <v>5</v>
      </c>
      <c r="E19" s="83">
        <v>15</v>
      </c>
      <c r="F19" s="218">
        <v>0.96</v>
      </c>
      <c r="G19" s="219">
        <v>0.01</v>
      </c>
      <c r="H19" s="219">
        <v>0.03</v>
      </c>
      <c r="J19" s="3"/>
      <c r="K19" s="3"/>
    </row>
    <row r="20" spans="1:11" ht="15.5" x14ac:dyDescent="0.35">
      <c r="A20" s="21" t="s">
        <v>59</v>
      </c>
      <c r="B20" s="79">
        <v>380</v>
      </c>
      <c r="C20" s="83">
        <v>360</v>
      </c>
      <c r="D20" s="79">
        <v>5</v>
      </c>
      <c r="E20" s="83">
        <v>15</v>
      </c>
      <c r="F20" s="218">
        <v>0.95</v>
      </c>
      <c r="G20" s="219">
        <v>0.01</v>
      </c>
      <c r="H20" s="219">
        <v>0.04</v>
      </c>
      <c r="J20" s="3"/>
      <c r="K20" s="3"/>
    </row>
    <row r="21" spans="1:11" ht="15.5" x14ac:dyDescent="0.35">
      <c r="A21" s="21" t="s">
        <v>60</v>
      </c>
      <c r="B21" s="79">
        <v>385</v>
      </c>
      <c r="C21" s="83">
        <v>370</v>
      </c>
      <c r="D21" s="79">
        <v>5</v>
      </c>
      <c r="E21" s="83">
        <v>10</v>
      </c>
      <c r="F21" s="218">
        <v>0.96</v>
      </c>
      <c r="G21" s="219">
        <v>0.02</v>
      </c>
      <c r="H21" s="219">
        <v>0.02</v>
      </c>
      <c r="J21" s="3"/>
      <c r="K21" s="3"/>
    </row>
    <row r="22" spans="1:11" ht="15.5" x14ac:dyDescent="0.35">
      <c r="A22" s="21" t="s">
        <v>61</v>
      </c>
      <c r="B22" s="79">
        <v>335</v>
      </c>
      <c r="C22" s="83">
        <v>320</v>
      </c>
      <c r="D22" s="79" t="s">
        <v>164</v>
      </c>
      <c r="E22" s="79">
        <v>15</v>
      </c>
      <c r="F22" s="218">
        <v>0.96</v>
      </c>
      <c r="G22" s="219" t="s">
        <v>164</v>
      </c>
      <c r="H22" s="219" t="s">
        <v>164</v>
      </c>
      <c r="J22" s="3"/>
      <c r="K22" s="3"/>
    </row>
    <row r="23" spans="1:11" ht="15.5" x14ac:dyDescent="0.35">
      <c r="A23" s="21" t="s">
        <v>62</v>
      </c>
      <c r="B23" s="79">
        <v>330</v>
      </c>
      <c r="C23" s="83">
        <v>315</v>
      </c>
      <c r="D23" s="79" t="s">
        <v>164</v>
      </c>
      <c r="E23" s="79">
        <v>15</v>
      </c>
      <c r="F23" s="218">
        <v>0.95</v>
      </c>
      <c r="G23" s="219" t="s">
        <v>164</v>
      </c>
      <c r="H23" s="219" t="s">
        <v>164</v>
      </c>
      <c r="J23" s="3"/>
      <c r="K23" s="3"/>
    </row>
    <row r="24" spans="1:11" ht="15.5" x14ac:dyDescent="0.35">
      <c r="A24" s="21" t="s">
        <v>63</v>
      </c>
      <c r="B24" s="79">
        <v>265</v>
      </c>
      <c r="C24" s="83">
        <v>255</v>
      </c>
      <c r="D24" s="84">
        <v>0</v>
      </c>
      <c r="E24" s="83">
        <v>10</v>
      </c>
      <c r="F24" s="218">
        <v>0.96</v>
      </c>
      <c r="G24" s="219">
        <v>0</v>
      </c>
      <c r="H24" s="219">
        <v>0.04</v>
      </c>
      <c r="J24" s="3"/>
      <c r="K24" s="3"/>
    </row>
    <row r="25" spans="1:11" ht="15.5" x14ac:dyDescent="0.35">
      <c r="A25" s="21" t="s">
        <v>64</v>
      </c>
      <c r="B25" s="79">
        <v>270</v>
      </c>
      <c r="C25" s="83">
        <v>255</v>
      </c>
      <c r="D25" s="79" t="s">
        <v>164</v>
      </c>
      <c r="E25" s="79">
        <v>10</v>
      </c>
      <c r="F25" s="218">
        <v>0.95</v>
      </c>
      <c r="G25" s="219" t="s">
        <v>164</v>
      </c>
      <c r="H25" s="219" t="s">
        <v>164</v>
      </c>
      <c r="J25" s="3"/>
      <c r="K25" s="3"/>
    </row>
    <row r="26" spans="1:11" ht="15.5" x14ac:dyDescent="0.35">
      <c r="A26" s="21" t="s">
        <v>65</v>
      </c>
      <c r="B26" s="79">
        <v>265</v>
      </c>
      <c r="C26" s="83">
        <v>250</v>
      </c>
      <c r="D26" s="79" t="s">
        <v>164</v>
      </c>
      <c r="E26" s="79">
        <v>10</v>
      </c>
      <c r="F26" s="218">
        <v>0.95</v>
      </c>
      <c r="G26" s="219" t="s">
        <v>164</v>
      </c>
      <c r="H26" s="219" t="s">
        <v>164</v>
      </c>
      <c r="J26" s="3"/>
      <c r="K26" s="3"/>
    </row>
    <row r="27" spans="1:11" ht="15.5" x14ac:dyDescent="0.35">
      <c r="A27" s="21" t="s">
        <v>81</v>
      </c>
      <c r="B27" s="85">
        <v>280</v>
      </c>
      <c r="C27" s="83">
        <v>270</v>
      </c>
      <c r="D27" s="79" t="s">
        <v>164</v>
      </c>
      <c r="E27" s="79">
        <v>10</v>
      </c>
      <c r="F27" s="218">
        <v>0.96</v>
      </c>
      <c r="G27" s="219" t="s">
        <v>164</v>
      </c>
      <c r="H27" s="219" t="s">
        <v>164</v>
      </c>
      <c r="J27" s="3"/>
      <c r="K27" s="3"/>
    </row>
    <row r="28" spans="1:11" x14ac:dyDescent="0.35">
      <c r="A28" s="9" t="s">
        <v>9</v>
      </c>
      <c r="B28" s="9"/>
      <c r="C28" s="9"/>
      <c r="D28" s="9"/>
      <c r="E28" s="9"/>
      <c r="F28" s="9"/>
      <c r="G28" s="9"/>
      <c r="H28" s="9"/>
      <c r="I28" s="9"/>
    </row>
    <row r="29" spans="1:11" x14ac:dyDescent="0.35">
      <c r="A29" s="9" t="s">
        <v>118</v>
      </c>
      <c r="B29" s="9"/>
      <c r="C29" s="9"/>
      <c r="D29" s="17"/>
      <c r="E29" s="9"/>
      <c r="F29" s="9"/>
      <c r="G29" s="9"/>
      <c r="H29" s="9"/>
      <c r="I29" s="9"/>
    </row>
    <row r="30" spans="1:11" ht="17" customHeight="1" x14ac:dyDescent="0.35">
      <c r="A30" s="9" t="s">
        <v>84</v>
      </c>
      <c r="B30" s="9"/>
      <c r="C30" s="9"/>
      <c r="D30" s="9"/>
      <c r="E30" s="9"/>
      <c r="F30" s="9"/>
      <c r="G30" s="9"/>
      <c r="H30" s="9"/>
      <c r="I30" s="9"/>
      <c r="J30" s="9"/>
      <c r="K30" s="9"/>
    </row>
    <row r="31" spans="1:11" ht="206.5" customHeight="1" x14ac:dyDescent="0.35">
      <c r="A31" s="41" t="s">
        <v>89</v>
      </c>
      <c r="B31" s="41"/>
      <c r="C31" s="41"/>
      <c r="D31" s="41"/>
      <c r="E31" s="41"/>
      <c r="F31" s="41"/>
      <c r="G31" s="41"/>
      <c r="H31" s="41"/>
      <c r="I31" s="41"/>
      <c r="J31" s="41"/>
      <c r="K31" s="41"/>
    </row>
  </sheetData>
  <conditionalFormatting sqref="F5:H27">
    <cfRule type="dataBar" priority="1">
      <dataBar>
        <cfvo type="num" val="0"/>
        <cfvo type="num" val="1"/>
        <color rgb="FFB4A9D4"/>
      </dataBar>
      <extLst>
        <ext xmlns:x14="http://schemas.microsoft.com/office/spreadsheetml/2009/9/main" uri="{B025F937-C7B1-47D3-B67F-A62EFF666E3E}">
          <x14:id>{64BFE17C-84DE-4099-A18F-0B86CA9157A9}</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4BFE17C-84DE-4099-A18F-0B86CA9157A9}">
            <x14:dataBar minLength="0" maxLength="100" gradient="0">
              <x14:cfvo type="num">
                <xm:f>0</xm:f>
              </x14:cfvo>
              <x14:cfvo type="num">
                <xm:f>1</xm:f>
              </x14:cfvo>
              <x14:negativeFillColor rgb="FFFF0000"/>
              <x14:axisColor rgb="FF000000"/>
            </x14:dataBar>
          </x14:cfRule>
          <xm:sqref>F5:H27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75" zoomScaleNormal="75" workbookViewId="0"/>
  </sheetViews>
  <sheetFormatPr defaultRowHeight="14.5" x14ac:dyDescent="0.35"/>
  <cols>
    <col min="1" max="1" width="27.6328125" customWidth="1"/>
    <col min="2" max="2" width="20.6328125" customWidth="1"/>
    <col min="3" max="3" width="18.36328125" customWidth="1"/>
    <col min="4" max="4" width="21.453125" customWidth="1"/>
    <col min="5" max="5" width="15.7265625" customWidth="1"/>
    <col min="6" max="6" width="15.90625" customWidth="1"/>
    <col min="7" max="7" width="16.36328125" customWidth="1"/>
    <col min="8" max="8" width="14.08984375" customWidth="1"/>
    <col min="9" max="9" width="13" customWidth="1"/>
    <col min="10" max="10" width="14.1796875" customWidth="1"/>
  </cols>
  <sheetData>
    <row r="1" spans="1:11" ht="21" x14ac:dyDescent="0.5">
      <c r="A1" s="167" t="s">
        <v>30</v>
      </c>
    </row>
    <row r="2" spans="1:11" ht="15.5" x14ac:dyDescent="0.35">
      <c r="A2" s="44" t="s">
        <v>93</v>
      </c>
    </row>
    <row r="3" spans="1:11" ht="15.5" x14ac:dyDescent="0.35">
      <c r="A3" s="40" t="s">
        <v>364</v>
      </c>
    </row>
    <row r="4" spans="1:11" ht="15.5" x14ac:dyDescent="0.35">
      <c r="A4" s="40" t="s">
        <v>184</v>
      </c>
      <c r="D4" s="17"/>
    </row>
    <row r="5" spans="1:11" ht="15.5" x14ac:dyDescent="0.35">
      <c r="A5" s="45" t="s">
        <v>95</v>
      </c>
      <c r="B5" s="46" t="s">
        <v>96</v>
      </c>
      <c r="D5" s="17"/>
    </row>
    <row r="6" spans="1:11" ht="62" x14ac:dyDescent="0.35">
      <c r="A6" s="205" t="s">
        <v>365</v>
      </c>
      <c r="B6" s="168" t="s">
        <v>29</v>
      </c>
      <c r="C6" s="168" t="s">
        <v>182</v>
      </c>
      <c r="D6" s="168" t="s">
        <v>166</v>
      </c>
      <c r="E6" s="25" t="s">
        <v>68</v>
      </c>
      <c r="F6" s="30" t="s">
        <v>69</v>
      </c>
      <c r="G6" s="25" t="s">
        <v>70</v>
      </c>
      <c r="H6" s="30" t="s">
        <v>71</v>
      </c>
      <c r="I6" s="25" t="s">
        <v>72</v>
      </c>
      <c r="J6" s="30" t="s">
        <v>73</v>
      </c>
    </row>
    <row r="7" spans="1:11" ht="15.5" x14ac:dyDescent="0.35">
      <c r="A7" s="187" t="str">
        <f xml:space="preserve"> "Total " &amp;$B$5</f>
        <v>Total All time</v>
      </c>
      <c r="B7" s="194">
        <f>VLOOKUP($A7, 'Table 3 Full data'!$A$2:$J$21, 2, FALSE)</f>
        <v>6205</v>
      </c>
      <c r="C7" s="26">
        <f>VLOOKUP($A7, 'Table 3 Full data'!$A$2:$J$21, 3, FALSE)</f>
        <v>1</v>
      </c>
      <c r="D7" s="194">
        <f>VLOOKUP($A7, 'Table 3 Full data'!$A$2:$J$21, 4, FALSE)</f>
        <v>5895</v>
      </c>
      <c r="E7" s="194">
        <f>VLOOKUP($A7, 'Table 3 Full data'!$A$2:$J$21, 5, FALSE)</f>
        <v>4190</v>
      </c>
      <c r="F7" s="194">
        <f>VLOOKUP($A7, 'Table 3 Full data'!$A$2:$J$21, 6, FALSE)</f>
        <v>1585</v>
      </c>
      <c r="G7" s="194">
        <f>VLOOKUP($A7, 'Table 3 Full data'!$A$2:$J$21, 7, FALSE)</f>
        <v>120</v>
      </c>
      <c r="H7" s="26">
        <f>VLOOKUP($A7, 'Table 3 Full data'!$A$2:$J$21, 8, FALSE)</f>
        <v>0.71</v>
      </c>
      <c r="I7" s="26">
        <f>VLOOKUP($A7, 'Table 3 Full data'!$A$2:$J$21, 9, FALSE)</f>
        <v>0.27</v>
      </c>
      <c r="J7" s="71">
        <f>VLOOKUP($A7, 'Table 3 Full data'!$A$2:$J$21, 10, FALSE)</f>
        <v>0.02</v>
      </c>
    </row>
    <row r="8" spans="1:11" ht="15.5" x14ac:dyDescent="0.35">
      <c r="A8" t="str">
        <f xml:space="preserve"> "16 years " &amp;$B$5</f>
        <v>16 years All time</v>
      </c>
      <c r="B8" s="201">
        <f>VLOOKUP($A8, 'Table 3 Full data'!$A$2:$J$21, 2, FALSE)</f>
        <v>2370</v>
      </c>
      <c r="C8" s="160">
        <f>VLOOKUP($A8, 'Table 3 Full data'!$A$2:$J$21, 3, FALSE)</f>
        <v>0.38</v>
      </c>
      <c r="D8" s="201">
        <f>VLOOKUP($A8, 'Table 3 Full data'!$A$2:$J$21, 4, FALSE)</f>
        <v>2250</v>
      </c>
      <c r="E8" s="201">
        <f>VLOOKUP($A8, 'Table 3 Full data'!$A$2:$J$21, 5, FALSE)</f>
        <v>1765</v>
      </c>
      <c r="F8" s="201">
        <f>VLOOKUP($A8, 'Table 3 Full data'!$A$2:$J$21, 6, FALSE)</f>
        <v>465</v>
      </c>
      <c r="G8" s="201">
        <f>VLOOKUP($A8, 'Table 3 Full data'!$A$2:$J$21, 7, FALSE)</f>
        <v>20</v>
      </c>
      <c r="H8" s="160">
        <f>VLOOKUP($A8, 'Table 3 Full data'!$A$2:$J$21, 8, FALSE)</f>
        <v>0.78</v>
      </c>
      <c r="I8" s="160">
        <f>VLOOKUP($A8, 'Table 3 Full data'!$A$2:$J$21, 9, FALSE)</f>
        <v>0.21</v>
      </c>
      <c r="J8" s="161">
        <f>VLOOKUP($A8, 'Table 3 Full data'!$A$2:$J$21, 10, FALSE)</f>
        <v>0.01</v>
      </c>
    </row>
    <row r="9" spans="1:11" ht="15.5" x14ac:dyDescent="0.35">
      <c r="A9" t="str">
        <f xml:space="preserve"> "17 years " &amp;$B$5</f>
        <v>17 years All time</v>
      </c>
      <c r="B9" s="92">
        <f>VLOOKUP($A9, 'Table 3 Full data'!$A$2:$J$21, 2, FALSE)</f>
        <v>2345</v>
      </c>
      <c r="C9" s="161">
        <f>VLOOKUP($A9, 'Table 3 Full data'!$A$2:$J$21, 3, FALSE)</f>
        <v>0.38</v>
      </c>
      <c r="D9" s="92">
        <f>VLOOKUP($A9, 'Table 3 Full data'!$A$2:$J$21, 4, FALSE)</f>
        <v>2245</v>
      </c>
      <c r="E9" s="92">
        <f>VLOOKUP($A9, 'Table 3 Full data'!$A$2:$J$21, 5, FALSE)</f>
        <v>1545</v>
      </c>
      <c r="F9" s="92">
        <f>VLOOKUP($A9, 'Table 3 Full data'!$A$2:$J$21, 6, FALSE)</f>
        <v>645</v>
      </c>
      <c r="G9" s="92">
        <f>VLOOKUP($A9, 'Table 3 Full data'!$A$2:$J$21, 7, FALSE)</f>
        <v>50</v>
      </c>
      <c r="H9" s="161">
        <f>VLOOKUP($A9, 'Table 3 Full data'!$A$2:$J$21, 8, FALSE)</f>
        <v>0.69</v>
      </c>
      <c r="I9" s="161">
        <f>VLOOKUP($A9, 'Table 3 Full data'!$A$2:$J$21, 9, FALSE)</f>
        <v>0.28999999999999998</v>
      </c>
      <c r="J9" s="161">
        <f>VLOOKUP($A9, 'Table 3 Full data'!$A$2:$J$21, 10, FALSE)</f>
        <v>0.02</v>
      </c>
    </row>
    <row r="10" spans="1:11" ht="15.5" x14ac:dyDescent="0.35">
      <c r="A10" t="str">
        <f xml:space="preserve"> "18 years " &amp;$B$5</f>
        <v>18 years All time</v>
      </c>
      <c r="B10" s="92">
        <f>VLOOKUP($A10, 'Table 3 Full data'!$A$2:$J$21, 2, FALSE)</f>
        <v>1325</v>
      </c>
      <c r="C10" s="161">
        <f>VLOOKUP($A10, 'Table 3 Full data'!$A$2:$J$21, 3, FALSE)</f>
        <v>0.21</v>
      </c>
      <c r="D10" s="92">
        <f>VLOOKUP($A10, 'Table 3 Full data'!$A$2:$J$21, 4, FALSE)</f>
        <v>1250</v>
      </c>
      <c r="E10" s="92">
        <f>VLOOKUP($A10, 'Table 3 Full data'!$A$2:$J$21, 5, FALSE)</f>
        <v>875</v>
      </c>
      <c r="F10" s="92">
        <f>VLOOKUP($A10, 'Table 3 Full data'!$A$2:$J$21, 6, FALSE)</f>
        <v>355</v>
      </c>
      <c r="G10" s="92">
        <f>VLOOKUP($A10, 'Table 3 Full data'!$A$2:$J$21, 7, FALSE)</f>
        <v>20</v>
      </c>
      <c r="H10" s="161">
        <f>VLOOKUP($A10, 'Table 3 Full data'!$A$2:$J$21, 8, FALSE)</f>
        <v>0.7</v>
      </c>
      <c r="I10" s="163">
        <f>VLOOKUP($A10, 'Table 3 Full data'!$A$2:$J$21, 9, FALSE)</f>
        <v>0.28000000000000003</v>
      </c>
      <c r="J10" s="163">
        <f>VLOOKUP($A10, 'Table 3 Full data'!$A$2:$J$21, 10, FALSE)</f>
        <v>0.02</v>
      </c>
    </row>
    <row r="11" spans="1:11" ht="15.5" x14ac:dyDescent="0.35">
      <c r="A11" t="str">
        <f xml:space="preserve"> "Other " &amp;$B$5</f>
        <v>Other All time</v>
      </c>
      <c r="B11" s="92">
        <f>VLOOKUP($A11, 'Table 3 Full data'!$A$2:$J$21, 2, FALSE)</f>
        <v>160</v>
      </c>
      <c r="C11" s="164">
        <f>VLOOKUP($A11, 'Table 3 Full data'!$A$2:$J$21, 3, FALSE)</f>
        <v>0.03</v>
      </c>
      <c r="D11" s="92">
        <f>VLOOKUP($A11, 'Table 3 Full data'!$A$2:$J$21, 4, FALSE)</f>
        <v>150</v>
      </c>
      <c r="E11" s="92" t="str">
        <f>VLOOKUP($A11, 'Table 3 Full data'!$A$2:$J$21, 5, FALSE)</f>
        <v>[c]</v>
      </c>
      <c r="F11" s="92">
        <f>VLOOKUP($A11, 'Table 3 Full data'!$A$2:$J$21, 6, FALSE)</f>
        <v>120</v>
      </c>
      <c r="G11" s="183">
        <f>VLOOKUP($A11, 'Table 3 Full data'!$A$2:$J$21, 7, FALSE)</f>
        <v>30</v>
      </c>
      <c r="H11" s="165" t="str">
        <f>VLOOKUP($A11, 'Table 3 Full data'!$A$2:$J$21, 8, FALSE)</f>
        <v>[c]</v>
      </c>
      <c r="I11" s="166">
        <f>VLOOKUP($A11, 'Table 3 Full data'!$A$2:$J$21, 9, FALSE)</f>
        <v>0.81</v>
      </c>
      <c r="J11" s="163" t="str">
        <f>VLOOKUP($A11, 'Table 3 Full data'!$A$2:$J$21, 10, FALSE)</f>
        <v>[c]</v>
      </c>
    </row>
    <row r="12" spans="1:11" ht="14.5" customHeight="1" x14ac:dyDescent="0.35">
      <c r="A12" s="9" t="s">
        <v>9</v>
      </c>
      <c r="B12" s="6"/>
      <c r="C12" s="6"/>
      <c r="D12" s="6"/>
      <c r="E12" s="6"/>
      <c r="F12" s="6"/>
      <c r="G12" s="6"/>
      <c r="H12" s="6"/>
      <c r="I12" s="6"/>
      <c r="J12" s="6"/>
      <c r="K12" s="19"/>
    </row>
    <row r="13" spans="1:11" x14ac:dyDescent="0.35">
      <c r="A13" s="9" t="s">
        <v>118</v>
      </c>
      <c r="B13" s="9"/>
      <c r="C13" s="43"/>
      <c r="D13" s="9"/>
      <c r="E13" s="9"/>
      <c r="F13" s="9"/>
      <c r="G13" s="9"/>
      <c r="H13" s="9"/>
      <c r="I13" s="9"/>
      <c r="J13" s="9"/>
      <c r="K13" s="9"/>
    </row>
    <row r="14" spans="1:11" x14ac:dyDescent="0.35">
      <c r="A14" s="19" t="s">
        <v>90</v>
      </c>
      <c r="B14" s="19"/>
      <c r="C14" s="19"/>
      <c r="D14" s="19"/>
      <c r="E14" s="19"/>
      <c r="F14" s="19"/>
      <c r="G14" s="19"/>
      <c r="H14" s="19"/>
      <c r="I14" s="19"/>
      <c r="J14" s="19"/>
      <c r="K14" s="19"/>
    </row>
    <row r="15" spans="1:11" x14ac:dyDescent="0.35">
      <c r="A15" s="9" t="s">
        <v>91</v>
      </c>
    </row>
  </sheetData>
  <conditionalFormatting sqref="C7:C11">
    <cfRule type="dataBar" priority="3">
      <dataBar>
        <cfvo type="num" val="0"/>
        <cfvo type="num" val="1"/>
        <color rgb="FFB4A9D4"/>
      </dataBar>
      <extLst>
        <ext xmlns:x14="http://schemas.microsoft.com/office/spreadsheetml/2009/9/main" uri="{B025F937-C7B1-47D3-B67F-A62EFF666E3E}">
          <x14:id>{524F495E-A4C9-4CF1-B10D-EBDB8702E96F}</x14:id>
        </ext>
      </extLst>
    </cfRule>
  </conditionalFormatting>
  <conditionalFormatting sqref="H7:I11">
    <cfRule type="dataBar" priority="2">
      <dataBar>
        <cfvo type="num" val="0"/>
        <cfvo type="num" val="1"/>
        <color rgb="FFB4A9D4"/>
      </dataBar>
      <extLst>
        <ext xmlns:x14="http://schemas.microsoft.com/office/spreadsheetml/2009/9/main" uri="{B025F937-C7B1-47D3-B67F-A62EFF666E3E}">
          <x14:id>{91794581-4B0F-4D79-B958-A2368EB712BD}</x14:id>
        </ext>
      </extLst>
    </cfRule>
  </conditionalFormatting>
  <conditionalFormatting sqref="J7:J11">
    <cfRule type="dataBar" priority="1">
      <dataBar>
        <cfvo type="num" val="0"/>
        <cfvo type="num" val="1"/>
        <color rgb="FFB4A9D4"/>
      </dataBar>
      <extLst>
        <ext xmlns:x14="http://schemas.microsoft.com/office/spreadsheetml/2009/9/main" uri="{B025F937-C7B1-47D3-B67F-A62EFF666E3E}">
          <x14:id>{DA4AD5F3-56F4-45F8-A295-73C9B6DA5850}</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524F495E-A4C9-4CF1-B10D-EBDB8702E96F}">
            <x14:dataBar minLength="0" maxLength="100" gradient="0">
              <x14:cfvo type="num">
                <xm:f>0</xm:f>
              </x14:cfvo>
              <x14:cfvo type="num">
                <xm:f>1</xm:f>
              </x14:cfvo>
              <x14:negativeFillColor rgb="FFFF0000"/>
              <x14:axisColor rgb="FF000000"/>
            </x14:dataBar>
          </x14:cfRule>
          <xm:sqref>C7:C11</xm:sqref>
        </x14:conditionalFormatting>
        <x14:conditionalFormatting xmlns:xm="http://schemas.microsoft.com/office/excel/2006/main">
          <x14:cfRule type="dataBar" id="{91794581-4B0F-4D79-B958-A2368EB712BD}">
            <x14:dataBar minLength="0" maxLength="100" gradient="0">
              <x14:cfvo type="num">
                <xm:f>0</xm:f>
              </x14:cfvo>
              <x14:cfvo type="num">
                <xm:f>1</xm:f>
              </x14:cfvo>
              <x14:negativeFillColor rgb="FFFF0000"/>
              <x14:axisColor rgb="FF000000"/>
            </x14:dataBar>
          </x14:cfRule>
          <xm:sqref>H7:I11</xm:sqref>
        </x14:conditionalFormatting>
        <x14:conditionalFormatting xmlns:xm="http://schemas.microsoft.com/office/excel/2006/main">
          <x14:cfRule type="dataBar" id="{DA4AD5F3-56F4-45F8-A295-73C9B6DA5850}">
            <x14:dataBar minLength="0" maxLength="100" gradient="0">
              <x14:cfvo type="num">
                <xm:f>0</xm:f>
              </x14:cfvo>
              <x14:cfvo type="num">
                <xm:f>1</xm:f>
              </x14:cfvo>
              <x14:negativeFillColor rgb="FFFF0000"/>
              <x14:axisColor rgb="FF000000"/>
            </x14:dataBar>
          </x14:cfRule>
          <xm:sqref>J7:J11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4 Full data'!$H$2:$H$5</xm:f>
          </x14:formula1>
          <xm:sqref>B5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zoomScale="75" zoomScaleNormal="75" workbookViewId="0"/>
  </sheetViews>
  <sheetFormatPr defaultRowHeight="14.5" x14ac:dyDescent="0.35"/>
  <cols>
    <col min="1" max="1" width="38.81640625" customWidth="1"/>
    <col min="2" max="2" width="20.7265625" customWidth="1"/>
    <col min="3" max="3" width="18" customWidth="1"/>
    <col min="4" max="4" width="15.7265625" customWidth="1"/>
    <col min="5" max="5" width="15.08984375" customWidth="1"/>
    <col min="6" max="6" width="13.54296875" customWidth="1"/>
    <col min="7" max="7" width="13.08984375" customWidth="1"/>
    <col min="8" max="8" width="13.453125" customWidth="1"/>
    <col min="9" max="9" width="13.81640625" customWidth="1"/>
    <col min="10" max="10" width="14.81640625" customWidth="1"/>
  </cols>
  <sheetData>
    <row r="1" spans="1:16" ht="21" x14ac:dyDescent="0.5">
      <c r="A1" s="227" t="s">
        <v>22</v>
      </c>
    </row>
    <row r="2" spans="1:16" ht="15.5" x14ac:dyDescent="0.35">
      <c r="A2" s="44" t="s">
        <v>93</v>
      </c>
    </row>
    <row r="3" spans="1:16" ht="15.5" x14ac:dyDescent="0.35">
      <c r="A3" s="40" t="s">
        <v>366</v>
      </c>
    </row>
    <row r="4" spans="1:16" ht="15.5" x14ac:dyDescent="0.35">
      <c r="A4" s="40" t="s">
        <v>94</v>
      </c>
    </row>
    <row r="5" spans="1:16" ht="15.5" x14ac:dyDescent="0.35">
      <c r="A5" s="208" t="s">
        <v>95</v>
      </c>
      <c r="B5" s="46" t="s">
        <v>96</v>
      </c>
      <c r="C5" s="86"/>
      <c r="D5" s="44"/>
      <c r="E5" s="44"/>
      <c r="F5" s="44"/>
      <c r="G5" s="44"/>
      <c r="H5" s="44"/>
      <c r="I5" s="44"/>
      <c r="J5" s="44"/>
      <c r="K5" s="44"/>
      <c r="L5" s="44"/>
      <c r="M5" s="44"/>
      <c r="N5" s="44"/>
      <c r="O5" s="44"/>
      <c r="P5" s="44"/>
    </row>
    <row r="6" spans="1:16" ht="62" x14ac:dyDescent="0.35">
      <c r="A6" s="49" t="s">
        <v>97</v>
      </c>
      <c r="B6" s="22" t="s">
        <v>66</v>
      </c>
      <c r="C6" s="22" t="s">
        <v>67</v>
      </c>
      <c r="D6" s="30" t="s">
        <v>101</v>
      </c>
      <c r="E6" s="25" t="s">
        <v>68</v>
      </c>
      <c r="F6" s="30" t="s">
        <v>71</v>
      </c>
      <c r="G6" s="44"/>
      <c r="H6" s="44"/>
      <c r="I6" s="44"/>
      <c r="J6" s="44"/>
      <c r="K6" s="44"/>
      <c r="L6" s="44"/>
    </row>
    <row r="7" spans="1:16" ht="15.5" x14ac:dyDescent="0.35">
      <c r="A7" s="87" t="str">
        <f xml:space="preserve"> "Total " &amp;$B$5</f>
        <v>Total All time</v>
      </c>
      <c r="B7" s="194">
        <f>VLOOKUP($A7, 'Table 4 Full data'!$A$2:$F$145, 2, FALSE)</f>
        <v>6205</v>
      </c>
      <c r="C7" s="93">
        <f>VLOOKUP($A7, 'Table 4 Full data'!$A$2:$F$145, 3, FALSE)</f>
        <v>1</v>
      </c>
      <c r="D7" s="196">
        <f>VLOOKUP($A7, 'Table 4 Full data'!$A$2:$F$145, 4, FALSE)</f>
        <v>5895</v>
      </c>
      <c r="E7" s="197">
        <f>VLOOKUP($A7, 'Table 4 Full data'!$A$2:$F$145, 5, FALSE)</f>
        <v>4190</v>
      </c>
      <c r="F7" s="93">
        <f>VLOOKUP($A7, 'Table 4 Full data'!$A$2:$F$145, 6, FALSE)</f>
        <v>0.71</v>
      </c>
      <c r="G7" s="44"/>
      <c r="H7" s="44"/>
      <c r="I7" s="44"/>
      <c r="J7" s="44"/>
      <c r="K7" s="44"/>
      <c r="L7" s="44"/>
    </row>
    <row r="8" spans="1:16" ht="15.5" x14ac:dyDescent="0.35">
      <c r="A8" s="88" t="str">
        <f xml:space="preserve"> "Aberdeen City " &amp;$B$5</f>
        <v>Aberdeen City All time</v>
      </c>
      <c r="B8" s="92">
        <f>VLOOKUP($A8, 'Table 4 Full data'!$A$2:$F$145, 2, FALSE)</f>
        <v>85</v>
      </c>
      <c r="C8" s="73">
        <f>VLOOKUP($A8, 'Table 4 Full data'!$A$2:$F$145, 3, FALSE)</f>
        <v>0.01</v>
      </c>
      <c r="D8" s="198">
        <f>VLOOKUP($A8, 'Table 4 Full data'!$A$2:$F$145, 4, FALSE)</f>
        <v>80</v>
      </c>
      <c r="E8" s="199">
        <f>VLOOKUP($A8, 'Table 4 Full data'!$A$2:$F$145, 5, FALSE)</f>
        <v>55</v>
      </c>
      <c r="F8" s="73">
        <f>VLOOKUP($A8, 'Table 4 Full data'!$A$2:$F$145, 6, FALSE)</f>
        <v>0.7</v>
      </c>
      <c r="G8" s="44"/>
      <c r="H8" s="44"/>
      <c r="I8" s="44"/>
      <c r="J8" s="44"/>
      <c r="K8" s="44"/>
      <c r="L8" s="44"/>
    </row>
    <row r="9" spans="1:16" ht="15.5" x14ac:dyDescent="0.35">
      <c r="A9" s="88" t="str">
        <f xml:space="preserve"> "Aberdeenshire " &amp;$B$5</f>
        <v>Aberdeenshire All time</v>
      </c>
      <c r="B9" s="92">
        <f>VLOOKUP($A9, 'Table 4 Full data'!$A$2:$F$145, 2, FALSE)</f>
        <v>115</v>
      </c>
      <c r="C9" s="50">
        <f>VLOOKUP($A9, 'Table 4 Full data'!$A$2:$F$145, 3, FALSE)</f>
        <v>0.02</v>
      </c>
      <c r="D9" s="198">
        <f>VLOOKUP($A9, 'Table 4 Full data'!$A$2:$F$145, 4, FALSE)</f>
        <v>105</v>
      </c>
      <c r="E9" s="199">
        <f>VLOOKUP($A9, 'Table 4 Full data'!$A$2:$F$145, 5, FALSE)</f>
        <v>75</v>
      </c>
      <c r="F9" s="50">
        <f>VLOOKUP($A9, 'Table 4 Full data'!$A$2:$F$145, 6, FALSE)</f>
        <v>0.7</v>
      </c>
      <c r="G9" s="44"/>
      <c r="H9" s="44"/>
      <c r="I9" s="44"/>
      <c r="J9" s="44"/>
      <c r="K9" s="44"/>
      <c r="L9" s="44"/>
    </row>
    <row r="10" spans="1:16" ht="15.5" x14ac:dyDescent="0.35">
      <c r="A10" s="88" t="str">
        <f xml:space="preserve"> "Angus " &amp;$B$5</f>
        <v>Angus All time</v>
      </c>
      <c r="B10" s="92">
        <f>VLOOKUP($A10, 'Table 4 Full data'!$A$2:$F$145, 2, FALSE)</f>
        <v>180</v>
      </c>
      <c r="C10" s="73">
        <f>VLOOKUP($A10, 'Table 4 Full data'!$A$2:$F$145, 3, FALSE)</f>
        <v>0.03</v>
      </c>
      <c r="D10" s="198">
        <f>VLOOKUP($A10, 'Table 4 Full data'!$A$2:$F$145, 4, FALSE)</f>
        <v>165</v>
      </c>
      <c r="E10" s="199">
        <f>VLOOKUP($A10, 'Table 4 Full data'!$A$2:$F$145, 5, FALSE)</f>
        <v>125</v>
      </c>
      <c r="F10" s="73">
        <f>VLOOKUP($A10, 'Table 4 Full data'!$A$2:$F$145, 6, FALSE)</f>
        <v>0.74</v>
      </c>
      <c r="G10" s="44"/>
      <c r="H10" s="44"/>
      <c r="I10" s="44"/>
      <c r="J10" s="44"/>
      <c r="K10" s="44"/>
      <c r="L10" s="44"/>
    </row>
    <row r="11" spans="1:16" ht="15.5" x14ac:dyDescent="0.35">
      <c r="A11" s="88" t="str">
        <f xml:space="preserve"> "Argyll and Bute " &amp;$B$5</f>
        <v>Argyll and Bute All time</v>
      </c>
      <c r="B11" s="92">
        <f>VLOOKUP($A11, 'Table 4 Full data'!$A$2:$F$145, 2, FALSE)</f>
        <v>150</v>
      </c>
      <c r="C11" s="50">
        <f>VLOOKUP($A11, 'Table 4 Full data'!$A$2:$F$145, 3, FALSE)</f>
        <v>0.02</v>
      </c>
      <c r="D11" s="198">
        <f>VLOOKUP($A11, 'Table 4 Full data'!$A$2:$F$145, 4, FALSE)</f>
        <v>140</v>
      </c>
      <c r="E11" s="199">
        <f>VLOOKUP($A11, 'Table 4 Full data'!$A$2:$F$145, 5, FALSE)</f>
        <v>100</v>
      </c>
      <c r="F11" s="50">
        <f>VLOOKUP($A11, 'Table 4 Full data'!$A$2:$F$145, 6, FALSE)</f>
        <v>0.72</v>
      </c>
      <c r="G11" s="44"/>
      <c r="H11" s="44"/>
      <c r="I11" s="44"/>
      <c r="J11" s="44"/>
      <c r="K11" s="44"/>
      <c r="L11" s="44"/>
    </row>
    <row r="12" spans="1:16" ht="15.5" x14ac:dyDescent="0.35">
      <c r="A12" s="88" t="str">
        <f xml:space="preserve"> "Clackmannanshire " &amp;$B$5</f>
        <v>Clackmannanshire All time</v>
      </c>
      <c r="B12" s="92">
        <f>VLOOKUP($A12, 'Table 4 Full data'!$A$2:$F$145, 2, FALSE)</f>
        <v>65</v>
      </c>
      <c r="C12" s="73">
        <f>VLOOKUP($A12, 'Table 4 Full data'!$A$2:$F$145, 3, FALSE)</f>
        <v>0.01</v>
      </c>
      <c r="D12" s="198">
        <f>VLOOKUP($A12, 'Table 4 Full data'!$A$2:$F$145, 4, FALSE)</f>
        <v>65</v>
      </c>
      <c r="E12" s="199">
        <f>VLOOKUP($A12, 'Table 4 Full data'!$A$2:$F$145, 5, FALSE)</f>
        <v>50</v>
      </c>
      <c r="F12" s="73">
        <f>VLOOKUP($A12, 'Table 4 Full data'!$A$2:$F$145, 6, FALSE)</f>
        <v>0.75</v>
      </c>
      <c r="G12" s="44"/>
      <c r="H12" s="44"/>
      <c r="I12" s="44"/>
      <c r="J12" s="44"/>
      <c r="K12" s="44"/>
      <c r="L12" s="44"/>
    </row>
    <row r="13" spans="1:16" ht="15.5" x14ac:dyDescent="0.35">
      <c r="A13" s="88" t="str">
        <f xml:space="preserve"> "Dumfries and Galloway " &amp;$B$5</f>
        <v>Dumfries and Galloway All time</v>
      </c>
      <c r="B13" s="92">
        <f>VLOOKUP($A13, 'Table 4 Full data'!$A$2:$F$145, 2, FALSE)</f>
        <v>235</v>
      </c>
      <c r="C13" s="50">
        <f>VLOOKUP($A13, 'Table 4 Full data'!$A$2:$F$145, 3, FALSE)</f>
        <v>0.04</v>
      </c>
      <c r="D13" s="198">
        <f>VLOOKUP($A13, 'Table 4 Full data'!$A$2:$F$145, 4, FALSE)</f>
        <v>225</v>
      </c>
      <c r="E13" s="199">
        <f>VLOOKUP($A13, 'Table 4 Full data'!$A$2:$F$145, 5, FALSE)</f>
        <v>140</v>
      </c>
      <c r="F13" s="50">
        <f>VLOOKUP($A13, 'Table 4 Full data'!$A$2:$F$145, 6, FALSE)</f>
        <v>0.63</v>
      </c>
      <c r="G13" s="44"/>
      <c r="H13" s="44"/>
      <c r="I13" s="44"/>
      <c r="J13" s="44"/>
      <c r="K13" s="44"/>
      <c r="L13" s="44"/>
    </row>
    <row r="14" spans="1:16" ht="15.5" x14ac:dyDescent="0.35">
      <c r="A14" s="88" t="str">
        <f xml:space="preserve"> "Dundee City " &amp;$B$5</f>
        <v>Dundee City All time</v>
      </c>
      <c r="B14" s="92">
        <f>VLOOKUP($A14, 'Table 4 Full data'!$A$2:$F$145, 2, FALSE)</f>
        <v>215</v>
      </c>
      <c r="C14" s="73">
        <f>VLOOKUP($A14, 'Table 4 Full data'!$A$2:$F$145, 3, FALSE)</f>
        <v>0.03</v>
      </c>
      <c r="D14" s="198">
        <f>VLOOKUP($A14, 'Table 4 Full data'!$A$2:$F$145, 4, FALSE)</f>
        <v>205</v>
      </c>
      <c r="E14" s="199">
        <f>VLOOKUP($A14, 'Table 4 Full data'!$A$2:$F$145, 5, FALSE)</f>
        <v>145</v>
      </c>
      <c r="F14" s="73">
        <f>VLOOKUP($A14, 'Table 4 Full data'!$A$2:$F$145, 6, FALSE)</f>
        <v>0.71</v>
      </c>
      <c r="G14" s="44"/>
      <c r="H14" s="44"/>
      <c r="I14" s="44"/>
      <c r="J14" s="44"/>
      <c r="K14" s="44"/>
      <c r="L14" s="44"/>
    </row>
    <row r="15" spans="1:16" ht="15.5" x14ac:dyDescent="0.35">
      <c r="A15" s="88" t="str">
        <f xml:space="preserve"> "East Ayrshire " &amp;$B$5</f>
        <v>East Ayrshire All time</v>
      </c>
      <c r="B15" s="92">
        <f>VLOOKUP($A15, 'Table 4 Full data'!$A$2:$F$145, 2, FALSE)</f>
        <v>220</v>
      </c>
      <c r="C15" s="50">
        <f>VLOOKUP($A15, 'Table 4 Full data'!$A$2:$F$145, 3, FALSE)</f>
        <v>0.04</v>
      </c>
      <c r="D15" s="198">
        <f>VLOOKUP($A15, 'Table 4 Full data'!$A$2:$F$145, 4, FALSE)</f>
        <v>215</v>
      </c>
      <c r="E15" s="199">
        <f>VLOOKUP($A15, 'Table 4 Full data'!$A$2:$F$145, 5, FALSE)</f>
        <v>150</v>
      </c>
      <c r="F15" s="50">
        <f>VLOOKUP($A15, 'Table 4 Full data'!$A$2:$F$145, 6, FALSE)</f>
        <v>0.7</v>
      </c>
      <c r="G15" s="44"/>
      <c r="H15" s="44"/>
      <c r="I15" s="44"/>
      <c r="J15" s="44"/>
      <c r="K15" s="44"/>
      <c r="L15" s="44"/>
    </row>
    <row r="16" spans="1:16" ht="15.5" x14ac:dyDescent="0.35">
      <c r="A16" s="88" t="str">
        <f xml:space="preserve"> "East Dunbartonshire " &amp;$B$5</f>
        <v>East Dunbartonshire All time</v>
      </c>
      <c r="B16" s="92">
        <f>VLOOKUP($A16, 'Table 4 Full data'!$A$2:$F$145, 2, FALSE)</f>
        <v>160</v>
      </c>
      <c r="C16" s="73">
        <f>VLOOKUP($A16, 'Table 4 Full data'!$A$2:$F$145, 3, FALSE)</f>
        <v>0.03</v>
      </c>
      <c r="D16" s="198">
        <f>VLOOKUP($A16, 'Table 4 Full data'!$A$2:$F$145, 4, FALSE)</f>
        <v>155</v>
      </c>
      <c r="E16" s="199">
        <f>VLOOKUP($A16, 'Table 4 Full data'!$A$2:$F$145, 5, FALSE)</f>
        <v>110</v>
      </c>
      <c r="F16" s="73">
        <f>VLOOKUP($A16, 'Table 4 Full data'!$A$2:$F$145, 6, FALSE)</f>
        <v>0.72</v>
      </c>
      <c r="G16" s="44"/>
      <c r="H16" s="44"/>
      <c r="I16" s="44"/>
      <c r="J16" s="44"/>
      <c r="K16" s="44"/>
      <c r="L16" s="44"/>
    </row>
    <row r="17" spans="1:12" ht="15.5" x14ac:dyDescent="0.35">
      <c r="A17" s="88" t="str">
        <f xml:space="preserve"> "East Lothian " &amp;$B$5</f>
        <v>East Lothian All time</v>
      </c>
      <c r="B17" s="92">
        <f>VLOOKUP($A17, 'Table 4 Full data'!$A$2:$F$145, 2, FALSE)</f>
        <v>70</v>
      </c>
      <c r="C17" s="50">
        <f>VLOOKUP($A17, 'Table 4 Full data'!$A$2:$F$145, 3, FALSE)</f>
        <v>0.01</v>
      </c>
      <c r="D17" s="198">
        <f>VLOOKUP($A17, 'Table 4 Full data'!$A$2:$F$145, 4, FALSE)</f>
        <v>65</v>
      </c>
      <c r="E17" s="199">
        <f>VLOOKUP($A17, 'Table 4 Full data'!$A$2:$F$145, 5, FALSE)</f>
        <v>50</v>
      </c>
      <c r="F17" s="50">
        <f>VLOOKUP($A17, 'Table 4 Full data'!$A$2:$F$145, 6, FALSE)</f>
        <v>0.74</v>
      </c>
      <c r="G17" s="44"/>
      <c r="H17" s="44"/>
      <c r="I17" s="44"/>
      <c r="J17" s="44"/>
      <c r="K17" s="44"/>
      <c r="L17" s="44"/>
    </row>
    <row r="18" spans="1:12" ht="15.5" x14ac:dyDescent="0.35">
      <c r="A18" s="88" t="str">
        <f xml:space="preserve"> "East Renfrewshire " &amp;$B$5</f>
        <v>East Renfrewshire All time</v>
      </c>
      <c r="B18" s="92">
        <f>VLOOKUP($A18, 'Table 4 Full data'!$A$2:$F$145, 2, FALSE)</f>
        <v>135</v>
      </c>
      <c r="C18" s="73">
        <f>VLOOKUP($A18, 'Table 4 Full data'!$A$2:$F$145, 3, FALSE)</f>
        <v>0.02</v>
      </c>
      <c r="D18" s="198">
        <f>VLOOKUP($A18, 'Table 4 Full data'!$A$2:$F$145, 4, FALSE)</f>
        <v>130</v>
      </c>
      <c r="E18" s="199">
        <f>VLOOKUP($A18, 'Table 4 Full data'!$A$2:$F$145, 5, FALSE)</f>
        <v>100</v>
      </c>
      <c r="F18" s="73">
        <f>VLOOKUP($A18, 'Table 4 Full data'!$A$2:$F$145, 6, FALSE)</f>
        <v>0.75</v>
      </c>
      <c r="G18" s="44"/>
      <c r="H18" s="44"/>
      <c r="I18" s="44"/>
      <c r="J18" s="44"/>
      <c r="K18" s="44"/>
      <c r="L18" s="44"/>
    </row>
    <row r="19" spans="1:12" ht="15.5" x14ac:dyDescent="0.35">
      <c r="A19" s="88" t="str">
        <f xml:space="preserve"> "Edinburgh, City of " &amp;$B$5</f>
        <v>Edinburgh, City of All time</v>
      </c>
      <c r="B19" s="92">
        <f>VLOOKUP($A19, 'Table 4 Full data'!$A$2:$F$145, 2, FALSE)</f>
        <v>230</v>
      </c>
      <c r="C19" s="50">
        <f>VLOOKUP($A19, 'Table 4 Full data'!$A$2:$F$145, 3, FALSE)</f>
        <v>0.04</v>
      </c>
      <c r="D19" s="198">
        <f>VLOOKUP($A19, 'Table 4 Full data'!$A$2:$F$145, 4, FALSE)</f>
        <v>215</v>
      </c>
      <c r="E19" s="199">
        <f>VLOOKUP($A19, 'Table 4 Full data'!$A$2:$F$145, 5, FALSE)</f>
        <v>150</v>
      </c>
      <c r="F19" s="50">
        <f>VLOOKUP($A19, 'Table 4 Full data'!$A$2:$F$145, 6, FALSE)</f>
        <v>0.69</v>
      </c>
      <c r="G19" s="44"/>
      <c r="H19" s="44"/>
      <c r="I19" s="44"/>
      <c r="J19" s="44"/>
      <c r="K19" s="44"/>
      <c r="L19" s="44"/>
    </row>
    <row r="20" spans="1:12" ht="15.5" x14ac:dyDescent="0.35">
      <c r="A20" s="88" t="str">
        <f xml:space="preserve"> "Falkirk " &amp;$B$5</f>
        <v>Falkirk All time</v>
      </c>
      <c r="B20" s="92">
        <f>VLOOKUP($A20, 'Table 4 Full data'!$A$2:$F$145, 2, FALSE)</f>
        <v>175</v>
      </c>
      <c r="C20" s="73">
        <f>VLOOKUP($A20, 'Table 4 Full data'!$A$2:$F$145, 3, FALSE)</f>
        <v>0.03</v>
      </c>
      <c r="D20" s="198">
        <f>VLOOKUP($A20, 'Table 4 Full data'!$A$2:$F$145, 4, FALSE)</f>
        <v>165</v>
      </c>
      <c r="E20" s="199">
        <f>VLOOKUP($A20, 'Table 4 Full data'!$A$2:$F$145, 5, FALSE)</f>
        <v>125</v>
      </c>
      <c r="F20" s="73">
        <f>VLOOKUP($A20, 'Table 4 Full data'!$A$2:$F$145, 6, FALSE)</f>
        <v>0.76</v>
      </c>
      <c r="G20" s="44"/>
      <c r="H20" s="44"/>
      <c r="I20" s="44"/>
      <c r="J20" s="44"/>
      <c r="K20" s="44"/>
      <c r="L20" s="44"/>
    </row>
    <row r="21" spans="1:12" ht="15.5" x14ac:dyDescent="0.35">
      <c r="A21" s="88" t="str">
        <f xml:space="preserve"> "Fife " &amp;$B$5</f>
        <v>Fife All time</v>
      </c>
      <c r="B21" s="92">
        <f>VLOOKUP($A21, 'Table 4 Full data'!$A$2:$F$145, 2, FALSE)</f>
        <v>430</v>
      </c>
      <c r="C21" s="50">
        <f>VLOOKUP($A21, 'Table 4 Full data'!$A$2:$F$145, 3, FALSE)</f>
        <v>7.0000000000000007E-2</v>
      </c>
      <c r="D21" s="198">
        <f>VLOOKUP($A21, 'Table 4 Full data'!$A$2:$F$145, 4, FALSE)</f>
        <v>405</v>
      </c>
      <c r="E21" s="199">
        <f>VLOOKUP($A21, 'Table 4 Full data'!$A$2:$F$145, 5, FALSE)</f>
        <v>285</v>
      </c>
      <c r="F21" s="50">
        <f>VLOOKUP($A21, 'Table 4 Full data'!$A$2:$F$145, 6, FALSE)</f>
        <v>0.7</v>
      </c>
      <c r="G21" s="44"/>
      <c r="H21" s="44"/>
      <c r="I21" s="44"/>
      <c r="J21" s="44"/>
      <c r="K21" s="44"/>
      <c r="L21" s="44"/>
    </row>
    <row r="22" spans="1:12" ht="15.5" x14ac:dyDescent="0.35">
      <c r="A22" s="88" t="str">
        <f xml:space="preserve"> "Glasgow City " &amp;$B$5</f>
        <v>Glasgow City All time</v>
      </c>
      <c r="B22" s="92">
        <f>VLOOKUP($A22, 'Table 4 Full data'!$A$2:$F$145, 2, FALSE)</f>
        <v>895</v>
      </c>
      <c r="C22" s="73">
        <f>VLOOKUP($A22, 'Table 4 Full data'!$A$2:$F$145, 3, FALSE)</f>
        <v>0.14000000000000001</v>
      </c>
      <c r="D22" s="198">
        <f>VLOOKUP($A22, 'Table 4 Full data'!$A$2:$F$145, 4, FALSE)</f>
        <v>850</v>
      </c>
      <c r="E22" s="199">
        <f>VLOOKUP($A22, 'Table 4 Full data'!$A$2:$F$145, 5, FALSE)</f>
        <v>595</v>
      </c>
      <c r="F22" s="73">
        <f>VLOOKUP($A22, 'Table 4 Full data'!$A$2:$F$145, 6, FALSE)</f>
        <v>0.7</v>
      </c>
      <c r="G22" s="44"/>
      <c r="H22" s="44"/>
      <c r="I22" s="44"/>
      <c r="J22" s="44"/>
      <c r="K22" s="44"/>
      <c r="L22" s="44"/>
    </row>
    <row r="23" spans="1:12" ht="15.5" x14ac:dyDescent="0.35">
      <c r="A23" s="88" t="str">
        <f xml:space="preserve"> "Highland " &amp;$B$5</f>
        <v>Highland All time</v>
      </c>
      <c r="B23" s="92">
        <f>VLOOKUP($A23, 'Table 4 Full data'!$A$2:$F$145, 2, FALSE)</f>
        <v>220</v>
      </c>
      <c r="C23" s="50">
        <f>VLOOKUP($A23, 'Table 4 Full data'!$A$2:$F$145, 3, FALSE)</f>
        <v>0.04</v>
      </c>
      <c r="D23" s="198">
        <f>VLOOKUP($A23, 'Table 4 Full data'!$A$2:$F$145, 4, FALSE)</f>
        <v>215</v>
      </c>
      <c r="E23" s="199">
        <f>VLOOKUP($A23, 'Table 4 Full data'!$A$2:$F$145, 5, FALSE)</f>
        <v>155</v>
      </c>
      <c r="F23" s="50">
        <f>VLOOKUP($A23, 'Table 4 Full data'!$A$2:$F$145, 6, FALSE)</f>
        <v>0.72</v>
      </c>
      <c r="G23" s="44"/>
      <c r="H23" s="44"/>
      <c r="I23" s="44"/>
      <c r="J23" s="44"/>
      <c r="K23" s="44"/>
      <c r="L23" s="44"/>
    </row>
    <row r="24" spans="1:12" ht="15.5" x14ac:dyDescent="0.35">
      <c r="A24" s="88" t="str">
        <f xml:space="preserve"> "Inverclyde " &amp;$B$5</f>
        <v>Inverclyde All time</v>
      </c>
      <c r="B24" s="92">
        <f>VLOOKUP($A24, 'Table 4 Full data'!$A$2:$F$145, 2, FALSE)</f>
        <v>215</v>
      </c>
      <c r="C24" s="73">
        <f>VLOOKUP($A24, 'Table 4 Full data'!$A$2:$F$145, 3, FALSE)</f>
        <v>0.03</v>
      </c>
      <c r="D24" s="198">
        <f>VLOOKUP($A24, 'Table 4 Full data'!$A$2:$F$145, 4, FALSE)</f>
        <v>195</v>
      </c>
      <c r="E24" s="199">
        <f>VLOOKUP($A24, 'Table 4 Full data'!$A$2:$F$145, 5, FALSE)</f>
        <v>150</v>
      </c>
      <c r="F24" s="73">
        <f>VLOOKUP($A24, 'Table 4 Full data'!$A$2:$F$145, 6, FALSE)</f>
        <v>0.76</v>
      </c>
      <c r="G24" s="44"/>
      <c r="H24" s="44"/>
      <c r="I24" s="44"/>
      <c r="J24" s="44"/>
      <c r="K24" s="44"/>
      <c r="L24" s="44"/>
    </row>
    <row r="25" spans="1:12" ht="15.5" x14ac:dyDescent="0.35">
      <c r="A25" s="88" t="str">
        <f xml:space="preserve"> "Midlothian " &amp;$B$5</f>
        <v>Midlothian All time</v>
      </c>
      <c r="B25" s="92">
        <f>VLOOKUP($A25, 'Table 4 Full data'!$A$2:$F$145, 2, FALSE)</f>
        <v>100</v>
      </c>
      <c r="C25" s="50">
        <f>VLOOKUP($A25, 'Table 4 Full data'!$A$2:$F$145, 3, FALSE)</f>
        <v>0.02</v>
      </c>
      <c r="D25" s="198">
        <f>VLOOKUP($A25, 'Table 4 Full data'!$A$2:$F$145, 4, FALSE)</f>
        <v>95</v>
      </c>
      <c r="E25" s="199">
        <f>VLOOKUP($A25, 'Table 4 Full data'!$A$2:$F$145, 5, FALSE)</f>
        <v>65</v>
      </c>
      <c r="F25" s="50">
        <f>VLOOKUP($A25, 'Table 4 Full data'!$A$2:$F$145, 6, FALSE)</f>
        <v>0.68</v>
      </c>
      <c r="G25" s="44"/>
      <c r="H25" s="44"/>
      <c r="I25" s="44"/>
      <c r="J25" s="44"/>
      <c r="K25" s="44"/>
      <c r="L25" s="44"/>
    </row>
    <row r="26" spans="1:12" ht="15.5" x14ac:dyDescent="0.35">
      <c r="A26" s="88" t="str">
        <f xml:space="preserve"> "Moray " &amp;$B$5</f>
        <v>Moray All time</v>
      </c>
      <c r="B26" s="92">
        <f>VLOOKUP($A26, 'Table 4 Full data'!$A$2:$F$145, 2, FALSE)</f>
        <v>65</v>
      </c>
      <c r="C26" s="73">
        <f>VLOOKUP($A26, 'Table 4 Full data'!$A$2:$F$145, 3, FALSE)</f>
        <v>0.01</v>
      </c>
      <c r="D26" s="198">
        <f>VLOOKUP($A26, 'Table 4 Full data'!$A$2:$F$145, 4, FALSE)</f>
        <v>60</v>
      </c>
      <c r="E26" s="199">
        <f>VLOOKUP($A26, 'Table 4 Full data'!$A$2:$F$145, 5, FALSE)</f>
        <v>45</v>
      </c>
      <c r="F26" s="73">
        <f>VLOOKUP($A26, 'Table 4 Full data'!$A$2:$F$145, 6, FALSE)</f>
        <v>0.74</v>
      </c>
      <c r="G26" s="44"/>
      <c r="H26" s="44"/>
      <c r="I26" s="44"/>
      <c r="J26" s="44"/>
      <c r="K26" s="44"/>
      <c r="L26" s="44"/>
    </row>
    <row r="27" spans="1:12" ht="15.5" x14ac:dyDescent="0.35">
      <c r="A27" s="88" t="str">
        <f xml:space="preserve"> "Na h-Eileanan Siar " &amp;$B$5</f>
        <v>Na h-Eileanan Siar All time</v>
      </c>
      <c r="B27" s="92">
        <f>VLOOKUP($A27, 'Table 4 Full data'!$A$2:$F$145, 2, FALSE)</f>
        <v>25</v>
      </c>
      <c r="C27" s="50">
        <f>VLOOKUP($A27, 'Table 4 Full data'!$A$2:$F$145, 3, FALSE)</f>
        <v>0</v>
      </c>
      <c r="D27" s="198">
        <f>VLOOKUP($A27, 'Table 4 Full data'!$A$2:$F$145, 4, FALSE)</f>
        <v>25</v>
      </c>
      <c r="E27" s="199">
        <f>VLOOKUP($A27, 'Table 4 Full data'!$A$2:$F$145, 5, FALSE)</f>
        <v>15</v>
      </c>
      <c r="F27" s="50">
        <f>VLOOKUP($A27, 'Table 4 Full data'!$A$2:$F$145, 6, FALSE)</f>
        <v>0.68</v>
      </c>
      <c r="G27" s="44"/>
      <c r="H27" s="44"/>
      <c r="I27" s="44"/>
      <c r="J27" s="44"/>
      <c r="K27" s="44"/>
      <c r="L27" s="44"/>
    </row>
    <row r="28" spans="1:12" ht="15.5" x14ac:dyDescent="0.35">
      <c r="A28" s="88" t="str">
        <f xml:space="preserve"> "North Ayrshire " &amp;$B$5</f>
        <v>North Ayrshire All time</v>
      </c>
      <c r="B28" s="92">
        <f>VLOOKUP($A28, 'Table 4 Full data'!$A$2:$F$145, 2, FALSE)</f>
        <v>230</v>
      </c>
      <c r="C28" s="73">
        <f>VLOOKUP($A28, 'Table 4 Full data'!$A$2:$F$145, 3, FALSE)</f>
        <v>0.04</v>
      </c>
      <c r="D28" s="198">
        <f>VLOOKUP($A28, 'Table 4 Full data'!$A$2:$F$145, 4, FALSE)</f>
        <v>225</v>
      </c>
      <c r="E28" s="199">
        <f>VLOOKUP($A28, 'Table 4 Full data'!$A$2:$F$145, 5, FALSE)</f>
        <v>160</v>
      </c>
      <c r="F28" s="73">
        <f>VLOOKUP($A28, 'Table 4 Full data'!$A$2:$F$145, 6, FALSE)</f>
        <v>0.72</v>
      </c>
      <c r="G28" s="44"/>
      <c r="H28" s="44"/>
      <c r="I28" s="44"/>
      <c r="J28" s="44"/>
      <c r="K28" s="44"/>
      <c r="L28" s="44"/>
    </row>
    <row r="29" spans="1:12" ht="15.5" x14ac:dyDescent="0.35">
      <c r="A29" s="88" t="str">
        <f xml:space="preserve"> "North Lanarkshire " &amp;$B$5</f>
        <v>North Lanarkshire All time</v>
      </c>
      <c r="B29" s="92">
        <f>VLOOKUP($A29, 'Table 4 Full data'!$A$2:$F$145, 2, FALSE)</f>
        <v>500</v>
      </c>
      <c r="C29" s="50">
        <f>VLOOKUP($A29, 'Table 4 Full data'!$A$2:$F$145, 3, FALSE)</f>
        <v>0.08</v>
      </c>
      <c r="D29" s="198">
        <f>VLOOKUP($A29, 'Table 4 Full data'!$A$2:$F$145, 4, FALSE)</f>
        <v>465</v>
      </c>
      <c r="E29" s="199">
        <f>VLOOKUP($A29, 'Table 4 Full data'!$A$2:$F$145, 5, FALSE)</f>
        <v>340</v>
      </c>
      <c r="F29" s="50">
        <f>VLOOKUP($A29, 'Table 4 Full data'!$A$2:$F$145, 6, FALSE)</f>
        <v>0.73</v>
      </c>
      <c r="G29" s="44"/>
      <c r="H29" s="44"/>
      <c r="I29" s="44"/>
      <c r="J29" s="44"/>
      <c r="K29" s="44"/>
      <c r="L29" s="44"/>
    </row>
    <row r="30" spans="1:12" ht="15.5" x14ac:dyDescent="0.35">
      <c r="A30" s="88" t="str">
        <f xml:space="preserve"> "Orkney Islands " &amp;$B$5</f>
        <v>Orkney Islands All time</v>
      </c>
      <c r="B30" s="92">
        <f>VLOOKUP($A30, 'Table 4 Full data'!$A$2:$F$145, 2, FALSE)</f>
        <v>5</v>
      </c>
      <c r="C30" s="73">
        <f>VLOOKUP($A30, 'Table 4 Full data'!$A$2:$F$145, 3, FALSE)</f>
        <v>0</v>
      </c>
      <c r="D30" s="198">
        <f>VLOOKUP($A30, 'Table 4 Full data'!$A$2:$F$145, 4, FALSE)</f>
        <v>5</v>
      </c>
      <c r="E30" s="199">
        <f>VLOOKUP($A30, 'Table 4 Full data'!$A$2:$F$145, 5, FALSE)</f>
        <v>5</v>
      </c>
      <c r="F30" s="73" t="str">
        <f>VLOOKUP($A30, 'Table 4 Full data'!$A$2:$F$145, 6, FALSE)</f>
        <v>[c]</v>
      </c>
      <c r="G30" s="44"/>
      <c r="H30" s="44"/>
      <c r="I30" s="44"/>
      <c r="J30" s="44"/>
      <c r="K30" s="44"/>
      <c r="L30" s="44"/>
    </row>
    <row r="31" spans="1:12" ht="15.5" x14ac:dyDescent="0.35">
      <c r="A31" s="88" t="str">
        <f xml:space="preserve"> "Perth and Kinross " &amp;$B$5</f>
        <v>Perth and Kinross All time</v>
      </c>
      <c r="B31" s="92">
        <f>VLOOKUP($A31, 'Table 4 Full data'!$A$2:$F$145, 2, FALSE)</f>
        <v>195</v>
      </c>
      <c r="C31" s="50">
        <f>VLOOKUP($A31, 'Table 4 Full data'!$A$2:$F$145, 3, FALSE)</f>
        <v>0.03</v>
      </c>
      <c r="D31" s="198">
        <f>VLOOKUP($A31, 'Table 4 Full data'!$A$2:$F$145, 4, FALSE)</f>
        <v>180</v>
      </c>
      <c r="E31" s="199">
        <f>VLOOKUP($A31, 'Table 4 Full data'!$A$2:$F$145, 5, FALSE)</f>
        <v>125</v>
      </c>
      <c r="F31" s="50">
        <f>VLOOKUP($A31, 'Table 4 Full data'!$A$2:$F$145, 6, FALSE)</f>
        <v>0.7</v>
      </c>
      <c r="G31" s="44"/>
      <c r="H31" s="44"/>
      <c r="I31" s="44"/>
      <c r="J31" s="44"/>
      <c r="K31" s="44"/>
      <c r="L31" s="44"/>
    </row>
    <row r="32" spans="1:12" ht="15.5" x14ac:dyDescent="0.35">
      <c r="A32" s="88" t="str">
        <f xml:space="preserve"> "Renfrewshire " &amp;$B$5</f>
        <v>Renfrewshire All time</v>
      </c>
      <c r="B32" s="92">
        <f>VLOOKUP($A32, 'Table 4 Full data'!$A$2:$F$145, 2, FALSE)</f>
        <v>230</v>
      </c>
      <c r="C32" s="73">
        <f>VLOOKUP($A32, 'Table 4 Full data'!$A$2:$F$145, 3, FALSE)</f>
        <v>0.04</v>
      </c>
      <c r="D32" s="198">
        <f>VLOOKUP($A32, 'Table 4 Full data'!$A$2:$F$145, 4, FALSE)</f>
        <v>225</v>
      </c>
      <c r="E32" s="199">
        <f>VLOOKUP($A32, 'Table 4 Full data'!$A$2:$F$145, 5, FALSE)</f>
        <v>170</v>
      </c>
      <c r="F32" s="73">
        <f>VLOOKUP($A32, 'Table 4 Full data'!$A$2:$F$145, 6, FALSE)</f>
        <v>0.75</v>
      </c>
      <c r="G32" s="44"/>
      <c r="H32" s="44"/>
      <c r="I32" s="44"/>
      <c r="J32" s="44"/>
      <c r="K32" s="44"/>
      <c r="L32" s="44"/>
    </row>
    <row r="33" spans="1:12" ht="15.5" x14ac:dyDescent="0.35">
      <c r="A33" s="88" t="str">
        <f xml:space="preserve"> "Scottish Borders " &amp;$B$5</f>
        <v>Scottish Borders All time</v>
      </c>
      <c r="B33" s="92">
        <f>VLOOKUP($A33, 'Table 4 Full data'!$A$2:$F$145, 2, FALSE)</f>
        <v>75</v>
      </c>
      <c r="C33" s="50">
        <f>VLOOKUP($A33, 'Table 4 Full data'!$A$2:$F$145, 3, FALSE)</f>
        <v>0.01</v>
      </c>
      <c r="D33" s="198">
        <f>VLOOKUP($A33, 'Table 4 Full data'!$A$2:$F$145, 4, FALSE)</f>
        <v>70</v>
      </c>
      <c r="E33" s="199">
        <f>VLOOKUP($A33, 'Table 4 Full data'!$A$2:$F$145, 5, FALSE)</f>
        <v>50</v>
      </c>
      <c r="F33" s="50">
        <f>VLOOKUP($A33, 'Table 4 Full data'!$A$2:$F$145, 6, FALSE)</f>
        <v>0.72</v>
      </c>
      <c r="G33" s="44"/>
      <c r="H33" s="44"/>
      <c r="I33" s="44"/>
      <c r="J33" s="44"/>
      <c r="K33" s="44"/>
      <c r="L33" s="44"/>
    </row>
    <row r="34" spans="1:12" ht="15.5" x14ac:dyDescent="0.35">
      <c r="A34" s="88" t="str">
        <f xml:space="preserve"> "Shetland Islands " &amp;$B$5</f>
        <v>Shetland Islands All time</v>
      </c>
      <c r="B34" s="92">
        <f>VLOOKUP($A34, 'Table 4 Full data'!$A$2:$F$145, 2, FALSE)</f>
        <v>15</v>
      </c>
      <c r="C34" s="73">
        <f>VLOOKUP($A34, 'Table 4 Full data'!$A$2:$F$145, 3, FALSE)</f>
        <v>0</v>
      </c>
      <c r="D34" s="198">
        <f>VLOOKUP($A34, 'Table 4 Full data'!$A$2:$F$145, 4, FALSE)</f>
        <v>15</v>
      </c>
      <c r="E34" s="199">
        <f>VLOOKUP($A34, 'Table 4 Full data'!$A$2:$F$145, 5, FALSE)</f>
        <v>15</v>
      </c>
      <c r="F34" s="73">
        <f>VLOOKUP($A34, 'Table 4 Full data'!$A$2:$F$145, 6, FALSE)</f>
        <v>1</v>
      </c>
      <c r="G34" s="44"/>
      <c r="H34" s="44"/>
      <c r="I34" s="44"/>
      <c r="J34" s="44"/>
      <c r="K34" s="44"/>
      <c r="L34" s="44"/>
    </row>
    <row r="35" spans="1:12" ht="15.5" x14ac:dyDescent="0.35">
      <c r="A35" s="88" t="str">
        <f xml:space="preserve"> "South Ayrshire " &amp;$B$5</f>
        <v>South Ayrshire All time</v>
      </c>
      <c r="B35" s="92">
        <f>VLOOKUP($A35, 'Table 4 Full data'!$A$2:$F$145, 2, FALSE)</f>
        <v>110</v>
      </c>
      <c r="C35" s="50">
        <f>VLOOKUP($A35, 'Table 4 Full data'!$A$2:$F$145, 3, FALSE)</f>
        <v>0.02</v>
      </c>
      <c r="D35" s="198">
        <f>VLOOKUP($A35, 'Table 4 Full data'!$A$2:$F$145, 4, FALSE)</f>
        <v>105</v>
      </c>
      <c r="E35" s="199">
        <f>VLOOKUP($A35, 'Table 4 Full data'!$A$2:$F$145, 5, FALSE)</f>
        <v>80</v>
      </c>
      <c r="F35" s="50">
        <f>VLOOKUP($A35, 'Table 4 Full data'!$A$2:$F$145, 6, FALSE)</f>
        <v>0.8</v>
      </c>
      <c r="G35" s="44"/>
      <c r="H35" s="44"/>
      <c r="I35" s="44"/>
      <c r="J35" s="44"/>
      <c r="K35" s="44"/>
      <c r="L35" s="44"/>
    </row>
    <row r="36" spans="1:12" ht="15.5" x14ac:dyDescent="0.35">
      <c r="A36" s="88" t="str">
        <f xml:space="preserve"> "South Lanarkshire " &amp;$B$5</f>
        <v>South Lanarkshire All time</v>
      </c>
      <c r="B36" s="92">
        <f>VLOOKUP($A36, 'Table 4 Full data'!$A$2:$F$145, 2, FALSE)</f>
        <v>350</v>
      </c>
      <c r="C36" s="73">
        <f>VLOOKUP($A36, 'Table 4 Full data'!$A$2:$F$145, 3, FALSE)</f>
        <v>0.06</v>
      </c>
      <c r="D36" s="198">
        <f>VLOOKUP($A36, 'Table 4 Full data'!$A$2:$F$145, 4, FALSE)</f>
        <v>335</v>
      </c>
      <c r="E36" s="199">
        <f>VLOOKUP($A36, 'Table 4 Full data'!$A$2:$F$145, 5, FALSE)</f>
        <v>230</v>
      </c>
      <c r="F36" s="73">
        <f>VLOOKUP($A36, 'Table 4 Full data'!$A$2:$F$145, 6, FALSE)</f>
        <v>0.69</v>
      </c>
      <c r="G36" s="44"/>
      <c r="H36" s="44"/>
      <c r="I36" s="44"/>
      <c r="J36" s="44"/>
      <c r="K36" s="44"/>
      <c r="L36" s="44"/>
    </row>
    <row r="37" spans="1:12" ht="15.5" x14ac:dyDescent="0.35">
      <c r="A37" s="88" t="str">
        <f xml:space="preserve"> "Stirling " &amp;$B$5</f>
        <v>Stirling All time</v>
      </c>
      <c r="B37" s="92">
        <f>VLOOKUP($A37, 'Table 4 Full data'!$A$2:$F$145, 2, FALSE)</f>
        <v>100</v>
      </c>
      <c r="C37" s="50">
        <f>VLOOKUP($A37, 'Table 4 Full data'!$A$2:$F$145, 3, FALSE)</f>
        <v>0.02</v>
      </c>
      <c r="D37" s="198">
        <f>VLOOKUP($A37, 'Table 4 Full data'!$A$2:$F$145, 4, FALSE)</f>
        <v>100</v>
      </c>
      <c r="E37" s="199">
        <f>VLOOKUP($A37, 'Table 4 Full data'!$A$2:$F$145, 5, FALSE)</f>
        <v>70</v>
      </c>
      <c r="F37" s="50">
        <f>VLOOKUP($A37, 'Table 4 Full data'!$A$2:$F$145, 6, FALSE)</f>
        <v>0.72</v>
      </c>
      <c r="G37" s="44"/>
      <c r="H37" s="44"/>
      <c r="I37" s="44"/>
      <c r="J37" s="44"/>
      <c r="K37" s="44"/>
      <c r="L37" s="44"/>
    </row>
    <row r="38" spans="1:12" ht="15.5" x14ac:dyDescent="0.35">
      <c r="A38" s="88" t="str">
        <f xml:space="preserve"> "West Dunbartonshire " &amp;$B$5</f>
        <v>West Dunbartonshire All time</v>
      </c>
      <c r="B38" s="92">
        <f>VLOOKUP($A38, 'Table 4 Full data'!$A$2:$F$145, 2, FALSE)</f>
        <v>115</v>
      </c>
      <c r="C38" s="73">
        <f>VLOOKUP($A38, 'Table 4 Full data'!$A$2:$F$145, 3, FALSE)</f>
        <v>0.02</v>
      </c>
      <c r="D38" s="198">
        <f>VLOOKUP($A38, 'Table 4 Full data'!$A$2:$F$145, 4, FALSE)</f>
        <v>110</v>
      </c>
      <c r="E38" s="199">
        <f>VLOOKUP($A38, 'Table 4 Full data'!$A$2:$F$145, 5, FALSE)</f>
        <v>75</v>
      </c>
      <c r="F38" s="73">
        <f>VLOOKUP($A38, 'Table 4 Full data'!$A$2:$F$145, 6, FALSE)</f>
        <v>0.69</v>
      </c>
      <c r="G38" s="44"/>
      <c r="H38" s="44"/>
      <c r="I38" s="44"/>
      <c r="J38" s="44"/>
      <c r="K38" s="44"/>
      <c r="L38" s="44"/>
    </row>
    <row r="39" spans="1:12" ht="15.5" x14ac:dyDescent="0.35">
      <c r="A39" s="88" t="str">
        <f xml:space="preserve"> "West Lothian " &amp;$B$5</f>
        <v>West Lothian All time</v>
      </c>
      <c r="B39" s="92">
        <f>VLOOKUP($A39, 'Table 4 Full data'!$A$2:$F$145, 2, FALSE)</f>
        <v>265</v>
      </c>
      <c r="C39" s="50">
        <f>VLOOKUP($A39, 'Table 4 Full data'!$A$2:$F$145, 3, FALSE)</f>
        <v>0.04</v>
      </c>
      <c r="D39" s="198">
        <f>VLOOKUP($A39, 'Table 4 Full data'!$A$2:$F$145, 4, FALSE)</f>
        <v>255</v>
      </c>
      <c r="E39" s="199">
        <f>VLOOKUP($A39, 'Table 4 Full data'!$A$2:$F$145, 5, FALSE)</f>
        <v>175</v>
      </c>
      <c r="F39" s="50">
        <f>VLOOKUP($A39, 'Table 4 Full data'!$A$2:$F$145, 6, FALSE)</f>
        <v>0.69</v>
      </c>
      <c r="G39" s="44"/>
      <c r="H39" s="44"/>
      <c r="I39" s="44"/>
      <c r="J39" s="44"/>
      <c r="K39" s="44"/>
      <c r="L39" s="44"/>
    </row>
    <row r="40" spans="1:12" ht="15.5" x14ac:dyDescent="0.35">
      <c r="A40" s="88" t="str">
        <f xml:space="preserve"> "Unknown - Scottish address " &amp;$B$5</f>
        <v>Unknown - Scottish address All time</v>
      </c>
      <c r="B40" s="92" t="str">
        <f>VLOOKUP($A40, 'Table 4 Full data'!$A$2:$F$145, 2, FALSE)</f>
        <v>[c]</v>
      </c>
      <c r="C40" s="73" t="str">
        <f>VLOOKUP($A40, 'Table 4 Full data'!$A$2:$F$145, 3, FALSE)</f>
        <v>[c]</v>
      </c>
      <c r="D40" s="198">
        <f>VLOOKUP($A40, 'Table 4 Full data'!$A$2:$F$145, 4, FALSE)</f>
        <v>0</v>
      </c>
      <c r="E40" s="199">
        <f>VLOOKUP($A40, 'Table 4 Full data'!$A$2:$F$145, 5, FALSE)</f>
        <v>0</v>
      </c>
      <c r="F40" s="73">
        <f>VLOOKUP($A40, 'Table 4 Full data'!$A$2:$F$145, 6, FALSE)</f>
        <v>0</v>
      </c>
      <c r="G40" s="44"/>
      <c r="H40" s="44"/>
      <c r="I40" s="44"/>
      <c r="J40" s="44"/>
      <c r="K40" s="44"/>
      <c r="L40" s="44"/>
    </row>
    <row r="41" spans="1:12" ht="15.5" x14ac:dyDescent="0.35">
      <c r="A41" s="88" t="str">
        <f xml:space="preserve"> "Non-Scottish postcode " &amp;$B$5</f>
        <v>Non-Scottish postcode All time</v>
      </c>
      <c r="B41" s="92">
        <f>VLOOKUP($A41, 'Table 4 Full data'!$A$2:$F$145, 2, FALSE)</f>
        <v>10</v>
      </c>
      <c r="C41" s="50">
        <f>VLOOKUP($A41, 'Table 4 Full data'!$A$2:$F$145, 3, FALSE)</f>
        <v>0</v>
      </c>
      <c r="D41" s="198">
        <f>VLOOKUP($A41, 'Table 4 Full data'!$A$2:$F$145, 4, FALSE)</f>
        <v>10</v>
      </c>
      <c r="E41" s="199" t="str">
        <f>VLOOKUP($A41, 'Table 4 Full data'!$A$2:$F$145, 5, FALSE)</f>
        <v>[c]</v>
      </c>
      <c r="F41" s="50" t="str">
        <f>VLOOKUP($A41, 'Table 4 Full data'!$A$2:$F$145, 6, FALSE)</f>
        <v>[c]</v>
      </c>
      <c r="G41" s="44"/>
      <c r="H41" s="44"/>
      <c r="I41" s="44"/>
      <c r="J41" s="44"/>
      <c r="K41" s="44"/>
      <c r="L41" s="44"/>
    </row>
    <row r="42" spans="1:12" ht="15.5" x14ac:dyDescent="0.35">
      <c r="A42" s="88" t="str">
        <f xml:space="preserve"> "No address " &amp;$B$5</f>
        <v>No address All time</v>
      </c>
      <c r="B42" s="195">
        <f>VLOOKUP($A42, 'Table 4 Full data'!$A$2:$F$145, 2, FALSE)</f>
        <v>20</v>
      </c>
      <c r="C42" s="74">
        <f>VLOOKUP($A42, 'Table 4 Full data'!$A$2:$F$145, 3, FALSE)</f>
        <v>0</v>
      </c>
      <c r="D42" s="200">
        <f>VLOOKUP($A42, 'Table 4 Full data'!$A$2:$F$145, 4, FALSE)</f>
        <v>15</v>
      </c>
      <c r="E42" s="199" t="str">
        <f>VLOOKUP($A42, 'Table 4 Full data'!$A$2:$F$145, 5, FALSE)</f>
        <v>[c]</v>
      </c>
      <c r="F42" s="74" t="str">
        <f>VLOOKUP($A42, 'Table 4 Full data'!$A$2:$F$145, 6, FALSE)</f>
        <v>[c]</v>
      </c>
      <c r="G42" s="44"/>
      <c r="H42" s="44"/>
      <c r="I42" s="44"/>
      <c r="J42" s="44"/>
      <c r="K42" s="44"/>
      <c r="L42" s="44"/>
    </row>
    <row r="43" spans="1:12" ht="15.5" x14ac:dyDescent="0.35">
      <c r="A43" s="21" t="s">
        <v>9</v>
      </c>
    </row>
    <row r="44" spans="1:12" ht="15.5" x14ac:dyDescent="0.35">
      <c r="A44" s="21" t="s">
        <v>183</v>
      </c>
    </row>
    <row r="45" spans="1:12" ht="157" customHeight="1" x14ac:dyDescent="0.35">
      <c r="A45" s="47" t="s">
        <v>98</v>
      </c>
    </row>
    <row r="46" spans="1:12" ht="15.5" x14ac:dyDescent="0.35">
      <c r="A46" s="48" t="s">
        <v>99</v>
      </c>
    </row>
    <row r="47" spans="1:12" ht="15.5" x14ac:dyDescent="0.35">
      <c r="A47" s="48" t="s">
        <v>100</v>
      </c>
    </row>
    <row r="48" spans="1:12" ht="15.5" x14ac:dyDescent="0.35">
      <c r="A48" s="48" t="s">
        <v>102</v>
      </c>
    </row>
    <row r="49" spans="1:1" ht="15.5" x14ac:dyDescent="0.35">
      <c r="A49" s="48" t="s">
        <v>8</v>
      </c>
    </row>
  </sheetData>
  <conditionalFormatting sqref="F7:F42">
    <cfRule type="dataBar" priority="2">
      <dataBar>
        <cfvo type="num" val="0"/>
        <cfvo type="num" val="1"/>
        <color rgb="FFB4A9D4"/>
      </dataBar>
      <extLst>
        <ext xmlns:x14="http://schemas.microsoft.com/office/spreadsheetml/2009/9/main" uri="{B025F937-C7B1-47D3-B67F-A62EFF666E3E}">
          <x14:id>{A37AF369-CE81-4ED0-A6B3-6F3F9DCE6B76}</x14:id>
        </ext>
      </extLst>
    </cfRule>
  </conditionalFormatting>
  <conditionalFormatting sqref="C7:C42">
    <cfRule type="dataBar" priority="1">
      <dataBar>
        <cfvo type="num" val="0"/>
        <cfvo type="num" val="1"/>
        <color rgb="FFB4A9D4"/>
      </dataBar>
      <extLst>
        <ext xmlns:x14="http://schemas.microsoft.com/office/spreadsheetml/2009/9/main" uri="{B025F937-C7B1-47D3-B67F-A62EFF666E3E}">
          <x14:id>{0ABA0069-A928-4F70-BD28-A0B77695ED44}</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A37AF369-CE81-4ED0-A6B3-6F3F9DCE6B76}">
            <x14:dataBar minLength="0" maxLength="100" gradient="0">
              <x14:cfvo type="num">
                <xm:f>0</xm:f>
              </x14:cfvo>
              <x14:cfvo type="num">
                <xm:f>1</xm:f>
              </x14:cfvo>
              <x14:negativeFillColor rgb="FFFF0000"/>
              <x14:axisColor rgb="FF000000"/>
            </x14:dataBar>
          </x14:cfRule>
          <xm:sqref>F7:F42</xm:sqref>
        </x14:conditionalFormatting>
        <x14:conditionalFormatting xmlns:xm="http://schemas.microsoft.com/office/excel/2006/main">
          <x14:cfRule type="dataBar" id="{0ABA0069-A928-4F70-BD28-A0B77695ED44}">
            <x14:dataBar minLength="0" maxLength="100" gradient="0">
              <x14:cfvo type="num">
                <xm:f>0</xm:f>
              </x14:cfvo>
              <x14:cfvo type="num">
                <xm:f>1</xm:f>
              </x14:cfvo>
              <x14:negativeFillColor rgb="FFFF0000"/>
              <x14:axisColor rgb="FF000000"/>
            </x14:dataBar>
          </x14:cfRule>
          <xm:sqref>C7:C42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4 Full data'!$H$2:$H$5</xm:f>
          </x14:formula1>
          <xm:sqref>B5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zoomScale="75" zoomScaleNormal="75" workbookViewId="0"/>
  </sheetViews>
  <sheetFormatPr defaultRowHeight="14.5" x14ac:dyDescent="0.35"/>
  <cols>
    <col min="1" max="1" width="26.1796875" customWidth="1"/>
    <col min="2" max="2" width="19.26953125" customWidth="1"/>
    <col min="3" max="3" width="16.36328125" customWidth="1"/>
    <col min="4" max="4" width="17.7265625" customWidth="1"/>
    <col min="5" max="5" width="14.90625" customWidth="1"/>
    <col min="6" max="6" width="14" customWidth="1"/>
    <col min="7" max="7" width="14.26953125" customWidth="1"/>
    <col min="8" max="8" width="15.26953125" customWidth="1"/>
    <col min="9" max="9" width="13.453125" customWidth="1"/>
    <col min="10" max="10" width="15" customWidth="1"/>
  </cols>
  <sheetData>
    <row r="1" spans="1:10" ht="21" x14ac:dyDescent="0.5">
      <c r="A1" s="38" t="s">
        <v>23</v>
      </c>
    </row>
    <row r="2" spans="1:10" x14ac:dyDescent="0.35">
      <c r="A2" t="s">
        <v>367</v>
      </c>
    </row>
    <row r="3" spans="1:10" ht="15.5" x14ac:dyDescent="0.35">
      <c r="A3" s="40" t="s">
        <v>92</v>
      </c>
    </row>
    <row r="4" spans="1:10" ht="62" x14ac:dyDescent="0.35">
      <c r="A4" s="169" t="s">
        <v>104</v>
      </c>
      <c r="B4" s="22" t="s">
        <v>66</v>
      </c>
      <c r="C4" s="22" t="s">
        <v>67</v>
      </c>
      <c r="D4" s="30" t="s">
        <v>167</v>
      </c>
      <c r="E4" s="22" t="s">
        <v>68</v>
      </c>
      <c r="F4" s="75" t="s">
        <v>161</v>
      </c>
      <c r="G4" s="25" t="s">
        <v>162</v>
      </c>
      <c r="H4" s="30" t="s">
        <v>71</v>
      </c>
      <c r="I4" s="168" t="s">
        <v>72</v>
      </c>
      <c r="J4" s="168" t="s">
        <v>163</v>
      </c>
    </row>
    <row r="5" spans="1:10" ht="15.5" x14ac:dyDescent="0.35">
      <c r="A5" s="170" t="s">
        <v>7</v>
      </c>
      <c r="B5" s="81">
        <v>6205</v>
      </c>
      <c r="C5" s="94">
        <v>1</v>
      </c>
      <c r="D5" s="81">
        <v>5895</v>
      </c>
      <c r="E5" s="100">
        <v>4190</v>
      </c>
      <c r="F5" s="98">
        <v>1585</v>
      </c>
      <c r="G5" s="99">
        <v>120</v>
      </c>
      <c r="H5" s="94">
        <v>0.71</v>
      </c>
      <c r="I5" s="171">
        <v>0.27</v>
      </c>
      <c r="J5" s="171">
        <v>0.02</v>
      </c>
    </row>
    <row r="6" spans="1:10" ht="15.5" x14ac:dyDescent="0.35">
      <c r="A6" s="88" t="s">
        <v>15</v>
      </c>
      <c r="B6" s="79">
        <v>6150</v>
      </c>
      <c r="C6" s="220">
        <v>0.99</v>
      </c>
      <c r="D6" s="79">
        <v>5850</v>
      </c>
      <c r="E6" s="89">
        <v>4165</v>
      </c>
      <c r="F6" s="79">
        <v>1580</v>
      </c>
      <c r="G6" s="83">
        <v>110</v>
      </c>
      <c r="H6" s="220">
        <v>0.71</v>
      </c>
      <c r="I6" s="91">
        <v>0.27</v>
      </c>
      <c r="J6" s="91">
        <v>0.02</v>
      </c>
    </row>
    <row r="7" spans="1:10" ht="15.5" x14ac:dyDescent="0.35">
      <c r="A7" s="88" t="s">
        <v>13</v>
      </c>
      <c r="B7" s="79">
        <v>30</v>
      </c>
      <c r="C7" s="220">
        <v>0</v>
      </c>
      <c r="D7" s="79">
        <v>30</v>
      </c>
      <c r="E7" s="89">
        <v>25</v>
      </c>
      <c r="F7" s="79">
        <v>5</v>
      </c>
      <c r="G7" s="83" t="s">
        <v>164</v>
      </c>
      <c r="H7" s="220">
        <v>0.77</v>
      </c>
      <c r="I7" s="91" t="s">
        <v>164</v>
      </c>
      <c r="J7" s="91" t="s">
        <v>164</v>
      </c>
    </row>
    <row r="8" spans="1:10" ht="15.5" x14ac:dyDescent="0.35">
      <c r="A8" s="88" t="s">
        <v>14</v>
      </c>
      <c r="B8" s="172" t="s">
        <v>164</v>
      </c>
      <c r="C8" s="220">
        <v>0</v>
      </c>
      <c r="D8" s="79" t="s">
        <v>164</v>
      </c>
      <c r="E8" s="89" t="s">
        <v>164</v>
      </c>
      <c r="F8" s="79" t="s">
        <v>164</v>
      </c>
      <c r="G8" s="129">
        <v>0</v>
      </c>
      <c r="H8" s="220" t="s">
        <v>164</v>
      </c>
      <c r="I8" s="91" t="s">
        <v>164</v>
      </c>
      <c r="J8" s="91">
        <v>0</v>
      </c>
    </row>
    <row r="9" spans="1:10" ht="15.5" x14ac:dyDescent="0.35">
      <c r="A9" s="173" t="s">
        <v>103</v>
      </c>
      <c r="B9" s="85">
        <v>25</v>
      </c>
      <c r="C9" s="220">
        <v>0</v>
      </c>
      <c r="D9" s="85">
        <v>10</v>
      </c>
      <c r="E9" s="103">
        <v>0</v>
      </c>
      <c r="F9" s="79" t="s">
        <v>164</v>
      </c>
      <c r="G9" s="83">
        <v>10</v>
      </c>
      <c r="H9" s="220">
        <v>0</v>
      </c>
      <c r="I9" s="91" t="s">
        <v>164</v>
      </c>
      <c r="J9" s="91" t="s">
        <v>164</v>
      </c>
    </row>
    <row r="10" spans="1:10" x14ac:dyDescent="0.35">
      <c r="A10" s="9" t="s">
        <v>9</v>
      </c>
      <c r="B10" s="9"/>
      <c r="C10" s="9"/>
      <c r="D10" s="9"/>
      <c r="E10" s="9"/>
      <c r="F10" s="9"/>
    </row>
    <row r="11" spans="1:10" x14ac:dyDescent="0.35">
      <c r="A11" s="9" t="s">
        <v>118</v>
      </c>
      <c r="B11" s="9"/>
      <c r="C11" s="43"/>
      <c r="D11" s="9"/>
      <c r="E11" s="9"/>
      <c r="F11" s="9"/>
    </row>
    <row r="12" spans="1:10" ht="14.5" customHeight="1" x14ac:dyDescent="0.35">
      <c r="A12" s="8" t="s">
        <v>105</v>
      </c>
      <c r="B12" s="8"/>
      <c r="C12" s="8"/>
      <c r="D12" s="8"/>
      <c r="E12" s="8"/>
      <c r="F12" s="8"/>
    </row>
    <row r="13" spans="1:10" ht="14.5" customHeight="1" x14ac:dyDescent="0.35">
      <c r="A13" s="8" t="s">
        <v>106</v>
      </c>
      <c r="B13" s="8"/>
      <c r="C13" s="8"/>
      <c r="D13" s="8"/>
      <c r="E13" s="8"/>
      <c r="F13" s="8"/>
    </row>
    <row r="14" spans="1:10" ht="14.5" customHeight="1" x14ac:dyDescent="0.35">
      <c r="A14" s="9"/>
      <c r="B14" s="9"/>
      <c r="C14" s="9"/>
      <c r="D14" s="9"/>
      <c r="E14" s="9"/>
      <c r="F14" s="9"/>
    </row>
  </sheetData>
  <conditionalFormatting sqref="H5:J9">
    <cfRule type="dataBar" priority="2">
      <dataBar>
        <cfvo type="num" val="0"/>
        <cfvo type="num" val="1"/>
        <color rgb="FFB4A9D4"/>
      </dataBar>
      <extLst>
        <ext xmlns:x14="http://schemas.microsoft.com/office/spreadsheetml/2009/9/main" uri="{B025F937-C7B1-47D3-B67F-A62EFF666E3E}">
          <x14:id>{187790AA-FC12-44AB-B83F-E419361EAA68}</x14:id>
        </ext>
      </extLst>
    </cfRule>
  </conditionalFormatting>
  <conditionalFormatting sqref="C5:C9">
    <cfRule type="dataBar" priority="1">
      <dataBar>
        <cfvo type="num" val="0"/>
        <cfvo type="num" val="1"/>
        <color rgb="FFB4A9D4"/>
      </dataBar>
      <extLst>
        <ext xmlns:x14="http://schemas.microsoft.com/office/spreadsheetml/2009/9/main" uri="{B025F937-C7B1-47D3-B67F-A62EFF666E3E}">
          <x14:id>{9A4A8E8B-EC19-47B7-8CCB-9BB31E19E477}</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87790AA-FC12-44AB-B83F-E419361EAA68}">
            <x14:dataBar minLength="0" maxLength="100" gradient="0">
              <x14:cfvo type="num">
                <xm:f>0</xm:f>
              </x14:cfvo>
              <x14:cfvo type="num">
                <xm:f>1</xm:f>
              </x14:cfvo>
              <x14:negativeFillColor rgb="FFFF0000"/>
              <x14:axisColor rgb="FF000000"/>
            </x14:dataBar>
          </x14:cfRule>
          <xm:sqref>H5:J9</xm:sqref>
        </x14:conditionalFormatting>
        <x14:conditionalFormatting xmlns:xm="http://schemas.microsoft.com/office/excel/2006/main">
          <x14:cfRule type="dataBar" id="{9A4A8E8B-EC19-47B7-8CCB-9BB31E19E477}">
            <x14:dataBar minLength="0" maxLength="100" gradient="0">
              <x14:cfvo type="num">
                <xm:f>0</xm:f>
              </x14:cfvo>
              <x14:cfvo type="num">
                <xm:f>1</xm:f>
              </x14:cfvo>
              <x14:negativeFillColor rgb="FFFF0000"/>
              <x14:axisColor rgb="FF000000"/>
            </x14:dataBar>
          </x14:cfRule>
          <xm:sqref>C5:C9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75" zoomScaleNormal="75" workbookViewId="0"/>
  </sheetViews>
  <sheetFormatPr defaultRowHeight="14.5" x14ac:dyDescent="0.35"/>
  <cols>
    <col min="1" max="1" width="39.7265625" customWidth="1"/>
    <col min="2" max="2" width="20.81640625" customWidth="1"/>
    <col min="3" max="3" width="20.6328125" customWidth="1"/>
    <col min="4" max="4" width="13.54296875" customWidth="1"/>
    <col min="5" max="5" width="13.81640625" customWidth="1"/>
    <col min="6" max="6" width="14.26953125" customWidth="1"/>
    <col min="7" max="7" width="17" customWidth="1"/>
    <col min="8" max="8" width="14.54296875" customWidth="1"/>
    <col min="9" max="9" width="17.453125" customWidth="1"/>
    <col min="10" max="10" width="17" customWidth="1"/>
    <col min="11" max="11" width="15.54296875" customWidth="1"/>
    <col min="12" max="12" width="17.453125" customWidth="1"/>
    <col min="13" max="13" width="14.6328125" customWidth="1"/>
  </cols>
  <sheetData>
    <row r="1" spans="1:15" ht="21" x14ac:dyDescent="0.5">
      <c r="A1" s="38" t="s">
        <v>25</v>
      </c>
    </row>
    <row r="2" spans="1:15" ht="15.5" x14ac:dyDescent="0.35">
      <c r="A2" s="39" t="s">
        <v>116</v>
      </c>
    </row>
    <row r="3" spans="1:15" ht="15.5" x14ac:dyDescent="0.35">
      <c r="A3" s="40" t="s">
        <v>117</v>
      </c>
    </row>
    <row r="4" spans="1:15" ht="78" customHeight="1" x14ac:dyDescent="0.35">
      <c r="A4" s="25" t="s">
        <v>120</v>
      </c>
      <c r="B4" s="30" t="s">
        <v>107</v>
      </c>
      <c r="C4" s="25" t="s">
        <v>108</v>
      </c>
      <c r="D4" s="30" t="s">
        <v>109</v>
      </c>
      <c r="E4" s="25" t="s">
        <v>110</v>
      </c>
      <c r="F4" s="30" t="s">
        <v>111</v>
      </c>
      <c r="G4" s="25" t="s">
        <v>112</v>
      </c>
      <c r="H4" s="51" t="s">
        <v>113</v>
      </c>
      <c r="I4" s="52" t="s">
        <v>368</v>
      </c>
      <c r="J4" s="30" t="s">
        <v>369</v>
      </c>
      <c r="K4" s="25" t="s">
        <v>122</v>
      </c>
      <c r="L4" s="22" t="s">
        <v>123</v>
      </c>
      <c r="M4" s="53" t="s">
        <v>124</v>
      </c>
    </row>
    <row r="5" spans="1:15" ht="15.5" x14ac:dyDescent="0.35">
      <c r="A5" s="97" t="s">
        <v>168</v>
      </c>
      <c r="B5" s="98">
        <v>5840</v>
      </c>
      <c r="C5" s="99">
        <v>65</v>
      </c>
      <c r="D5" s="98">
        <v>835</v>
      </c>
      <c r="E5" s="99">
        <v>1280</v>
      </c>
      <c r="F5" s="98">
        <v>1150</v>
      </c>
      <c r="G5" s="99">
        <v>705</v>
      </c>
      <c r="H5" s="100">
        <v>1810</v>
      </c>
      <c r="I5" s="101">
        <v>2175</v>
      </c>
      <c r="J5" s="98">
        <v>3330</v>
      </c>
      <c r="K5" s="99">
        <v>2515</v>
      </c>
      <c r="L5" s="188">
        <v>0.37264635398836016</v>
      </c>
      <c r="M5" s="191">
        <v>13</v>
      </c>
      <c r="O5" s="76"/>
    </row>
    <row r="6" spans="1:15" ht="16.5" customHeight="1" x14ac:dyDescent="0.35">
      <c r="A6" s="102" t="s">
        <v>45</v>
      </c>
      <c r="B6" s="79">
        <v>25</v>
      </c>
      <c r="C6" s="83">
        <v>5</v>
      </c>
      <c r="D6" s="79">
        <v>10</v>
      </c>
      <c r="E6" s="83">
        <v>10</v>
      </c>
      <c r="F6" s="92">
        <v>0</v>
      </c>
      <c r="G6" s="90">
        <v>0</v>
      </c>
      <c r="H6" s="103">
        <v>0</v>
      </c>
      <c r="I6" s="104">
        <v>25</v>
      </c>
      <c r="J6" s="79">
        <v>25</v>
      </c>
      <c r="K6" s="90">
        <v>0</v>
      </c>
      <c r="L6" s="189">
        <v>1</v>
      </c>
      <c r="M6" s="192">
        <v>4</v>
      </c>
    </row>
    <row r="7" spans="1:15" ht="15" customHeight="1" x14ac:dyDescent="0.35">
      <c r="A7" s="102" t="s">
        <v>46</v>
      </c>
      <c r="B7" s="79">
        <v>345</v>
      </c>
      <c r="C7" s="83">
        <v>5</v>
      </c>
      <c r="D7" s="79">
        <v>15</v>
      </c>
      <c r="E7" s="83">
        <v>110</v>
      </c>
      <c r="F7" s="79">
        <v>120</v>
      </c>
      <c r="G7" s="83">
        <v>60</v>
      </c>
      <c r="H7" s="89">
        <v>40</v>
      </c>
      <c r="I7" s="104">
        <v>130</v>
      </c>
      <c r="J7" s="79">
        <v>250</v>
      </c>
      <c r="K7" s="83">
        <v>95</v>
      </c>
      <c r="L7" s="34">
        <v>0.37971014492753624</v>
      </c>
      <c r="M7" s="193">
        <v>12</v>
      </c>
    </row>
    <row r="8" spans="1:15" ht="15.5" x14ac:dyDescent="0.35">
      <c r="A8" s="102" t="s">
        <v>47</v>
      </c>
      <c r="B8" s="79">
        <v>305</v>
      </c>
      <c r="C8" s="83">
        <v>5</v>
      </c>
      <c r="D8" s="79">
        <v>30</v>
      </c>
      <c r="E8" s="83">
        <v>45</v>
      </c>
      <c r="F8" s="79">
        <v>80</v>
      </c>
      <c r="G8" s="83">
        <v>45</v>
      </c>
      <c r="H8" s="89">
        <v>95</v>
      </c>
      <c r="I8" s="104">
        <v>85</v>
      </c>
      <c r="J8" s="79">
        <v>165</v>
      </c>
      <c r="K8" s="83">
        <v>140</v>
      </c>
      <c r="L8" s="34">
        <v>0.27540983606557379</v>
      </c>
      <c r="M8" s="193">
        <v>15</v>
      </c>
    </row>
    <row r="9" spans="1:15" ht="15.5" x14ac:dyDescent="0.35">
      <c r="A9" s="102" t="s">
        <v>48</v>
      </c>
      <c r="B9" s="79">
        <v>285</v>
      </c>
      <c r="C9" s="83">
        <v>5</v>
      </c>
      <c r="D9" s="79">
        <v>30</v>
      </c>
      <c r="E9" s="83">
        <v>35</v>
      </c>
      <c r="F9" s="79">
        <v>60</v>
      </c>
      <c r="G9" s="83">
        <v>50</v>
      </c>
      <c r="H9" s="89">
        <v>105</v>
      </c>
      <c r="I9" s="104">
        <v>75</v>
      </c>
      <c r="J9" s="79">
        <v>130</v>
      </c>
      <c r="K9" s="83">
        <v>155</v>
      </c>
      <c r="L9" s="34">
        <v>0.25524475524475526</v>
      </c>
      <c r="M9" s="193">
        <v>17</v>
      </c>
    </row>
    <row r="10" spans="1:15" ht="15.5" x14ac:dyDescent="0.35">
      <c r="A10" s="102" t="s">
        <v>49</v>
      </c>
      <c r="B10" s="79">
        <v>230</v>
      </c>
      <c r="C10" s="83">
        <v>10</v>
      </c>
      <c r="D10" s="79">
        <v>15</v>
      </c>
      <c r="E10" s="83">
        <v>40</v>
      </c>
      <c r="F10" s="79">
        <v>40</v>
      </c>
      <c r="G10" s="83">
        <v>45</v>
      </c>
      <c r="H10" s="89">
        <v>80</v>
      </c>
      <c r="I10" s="104">
        <v>65</v>
      </c>
      <c r="J10" s="79">
        <v>105</v>
      </c>
      <c r="K10" s="83">
        <v>125</v>
      </c>
      <c r="L10" s="34">
        <v>0.27631578947368424</v>
      </c>
      <c r="M10" s="193">
        <v>16</v>
      </c>
    </row>
    <row r="11" spans="1:15" ht="15.5" x14ac:dyDescent="0.35">
      <c r="A11" s="102" t="s">
        <v>50</v>
      </c>
      <c r="B11" s="79">
        <v>205</v>
      </c>
      <c r="C11" s="83">
        <v>5</v>
      </c>
      <c r="D11" s="79">
        <v>10</v>
      </c>
      <c r="E11" s="83">
        <v>20</v>
      </c>
      <c r="F11" s="79">
        <v>30</v>
      </c>
      <c r="G11" s="83">
        <v>30</v>
      </c>
      <c r="H11" s="89">
        <v>105</v>
      </c>
      <c r="I11" s="104">
        <v>35</v>
      </c>
      <c r="J11" s="79">
        <v>65</v>
      </c>
      <c r="K11" s="83">
        <v>135</v>
      </c>
      <c r="L11" s="34">
        <v>0.17156862745098039</v>
      </c>
      <c r="M11" s="193">
        <v>21</v>
      </c>
    </row>
    <row r="12" spans="1:15" ht="15.5" x14ac:dyDescent="0.35">
      <c r="A12" s="102" t="s">
        <v>51</v>
      </c>
      <c r="B12" s="79">
        <v>145</v>
      </c>
      <c r="C12" s="83">
        <v>5</v>
      </c>
      <c r="D12" s="79">
        <v>35</v>
      </c>
      <c r="E12" s="83">
        <v>25</v>
      </c>
      <c r="F12" s="79">
        <v>20</v>
      </c>
      <c r="G12" s="83">
        <v>10</v>
      </c>
      <c r="H12" s="89">
        <v>45</v>
      </c>
      <c r="I12" s="104">
        <v>70</v>
      </c>
      <c r="J12" s="79">
        <v>90</v>
      </c>
      <c r="K12" s="83">
        <v>55</v>
      </c>
      <c r="L12" s="34">
        <v>0.47945205479452052</v>
      </c>
      <c r="M12" s="193">
        <v>11</v>
      </c>
    </row>
    <row r="13" spans="1:15" ht="15.5" x14ac:dyDescent="0.35">
      <c r="A13" s="102" t="s">
        <v>52</v>
      </c>
      <c r="B13" s="79">
        <v>235</v>
      </c>
      <c r="C13" s="83">
        <v>5</v>
      </c>
      <c r="D13" s="79">
        <v>30</v>
      </c>
      <c r="E13" s="83">
        <v>35</v>
      </c>
      <c r="F13" s="79">
        <v>20</v>
      </c>
      <c r="G13" s="83">
        <v>15</v>
      </c>
      <c r="H13" s="89">
        <v>135</v>
      </c>
      <c r="I13" s="104">
        <v>65</v>
      </c>
      <c r="J13" s="79">
        <v>85</v>
      </c>
      <c r="K13" s="83">
        <v>150</v>
      </c>
      <c r="L13" s="34">
        <v>0.27966101694915252</v>
      </c>
      <c r="M13" s="193">
        <v>40</v>
      </c>
    </row>
    <row r="14" spans="1:15" ht="15.5" x14ac:dyDescent="0.35">
      <c r="A14" s="102" t="s">
        <v>53</v>
      </c>
      <c r="B14" s="79">
        <v>295</v>
      </c>
      <c r="C14" s="83" t="s">
        <v>164</v>
      </c>
      <c r="D14" s="79">
        <v>50</v>
      </c>
      <c r="E14" s="83">
        <v>50</v>
      </c>
      <c r="F14" s="79">
        <v>35</v>
      </c>
      <c r="G14" s="83">
        <v>10</v>
      </c>
      <c r="H14" s="89">
        <v>155</v>
      </c>
      <c r="I14" s="104">
        <v>100</v>
      </c>
      <c r="J14" s="79">
        <v>135</v>
      </c>
      <c r="K14" s="83">
        <v>165</v>
      </c>
      <c r="L14" s="34">
        <v>0.33333333333333331</v>
      </c>
      <c r="M14" s="193">
        <v>23</v>
      </c>
    </row>
    <row r="15" spans="1:15" ht="15.5" x14ac:dyDescent="0.35">
      <c r="A15" s="102" t="s">
        <v>54</v>
      </c>
      <c r="B15" s="79">
        <v>185</v>
      </c>
      <c r="C15" s="83" t="s">
        <v>164</v>
      </c>
      <c r="D15" s="79">
        <v>20</v>
      </c>
      <c r="E15" s="83">
        <v>35</v>
      </c>
      <c r="F15" s="79">
        <v>30</v>
      </c>
      <c r="G15" s="83">
        <v>20</v>
      </c>
      <c r="H15" s="89">
        <v>75</v>
      </c>
      <c r="I15" s="104">
        <v>60</v>
      </c>
      <c r="J15" s="79">
        <v>90</v>
      </c>
      <c r="K15" s="83">
        <v>95</v>
      </c>
      <c r="L15" s="34">
        <v>0.31521739130434784</v>
      </c>
      <c r="M15" s="193">
        <v>16</v>
      </c>
    </row>
    <row r="16" spans="1:15" ht="15.5" x14ac:dyDescent="0.35">
      <c r="A16" s="102" t="s">
        <v>55</v>
      </c>
      <c r="B16" s="79">
        <v>120</v>
      </c>
      <c r="C16" s="90">
        <v>0</v>
      </c>
      <c r="D16" s="79">
        <v>15</v>
      </c>
      <c r="E16" s="83">
        <v>35</v>
      </c>
      <c r="F16" s="79">
        <v>20</v>
      </c>
      <c r="G16" s="83">
        <v>15</v>
      </c>
      <c r="H16" s="89">
        <v>35</v>
      </c>
      <c r="I16" s="104">
        <v>50</v>
      </c>
      <c r="J16" s="79">
        <v>70</v>
      </c>
      <c r="K16" s="83">
        <v>50</v>
      </c>
      <c r="L16" s="34">
        <v>0.43697478991596639</v>
      </c>
      <c r="M16" s="193">
        <v>11</v>
      </c>
    </row>
    <row r="17" spans="1:15" ht="15.5" x14ac:dyDescent="0.35">
      <c r="A17" s="102" t="s">
        <v>56</v>
      </c>
      <c r="B17" s="79">
        <v>230</v>
      </c>
      <c r="C17" s="90">
        <v>0</v>
      </c>
      <c r="D17" s="79">
        <v>40</v>
      </c>
      <c r="E17" s="83">
        <v>50</v>
      </c>
      <c r="F17" s="79">
        <v>35</v>
      </c>
      <c r="G17" s="83">
        <v>25</v>
      </c>
      <c r="H17" s="89">
        <v>80</v>
      </c>
      <c r="I17" s="104">
        <v>90</v>
      </c>
      <c r="J17" s="79">
        <v>125</v>
      </c>
      <c r="K17" s="83">
        <v>105</v>
      </c>
      <c r="L17" s="34">
        <v>0.38961038961038963</v>
      </c>
      <c r="M17" s="193">
        <v>14</v>
      </c>
    </row>
    <row r="18" spans="1:15" ht="15.5" x14ac:dyDescent="0.35">
      <c r="A18" s="102" t="s">
        <v>57</v>
      </c>
      <c r="B18" s="79">
        <v>225</v>
      </c>
      <c r="C18" s="83" t="s">
        <v>164</v>
      </c>
      <c r="D18" s="79">
        <v>40</v>
      </c>
      <c r="E18" s="83">
        <v>60</v>
      </c>
      <c r="F18" s="79">
        <v>40</v>
      </c>
      <c r="G18" s="83">
        <v>20</v>
      </c>
      <c r="H18" s="89">
        <v>70</v>
      </c>
      <c r="I18" s="104">
        <v>100</v>
      </c>
      <c r="J18" s="79">
        <v>135</v>
      </c>
      <c r="K18" s="83">
        <v>85</v>
      </c>
      <c r="L18" s="34">
        <v>0.43946188340807174</v>
      </c>
      <c r="M18" s="193">
        <v>12</v>
      </c>
    </row>
    <row r="19" spans="1:15" ht="15.5" x14ac:dyDescent="0.35">
      <c r="A19" s="102" t="s">
        <v>58</v>
      </c>
      <c r="B19" s="79">
        <v>340</v>
      </c>
      <c r="C19" s="90">
        <v>0</v>
      </c>
      <c r="D19" s="79">
        <v>15</v>
      </c>
      <c r="E19" s="83">
        <v>145</v>
      </c>
      <c r="F19" s="79">
        <v>90</v>
      </c>
      <c r="G19" s="83">
        <v>30</v>
      </c>
      <c r="H19" s="89">
        <v>60</v>
      </c>
      <c r="I19" s="104">
        <v>160</v>
      </c>
      <c r="J19" s="79">
        <v>245</v>
      </c>
      <c r="K19" s="83">
        <v>95</v>
      </c>
      <c r="L19" s="34">
        <v>0.46470588235294119</v>
      </c>
      <c r="M19" s="193">
        <v>11</v>
      </c>
    </row>
    <row r="20" spans="1:15" ht="15.5" x14ac:dyDescent="0.35">
      <c r="A20" s="102" t="s">
        <v>59</v>
      </c>
      <c r="B20" s="79">
        <v>460</v>
      </c>
      <c r="C20" s="83" t="s">
        <v>164</v>
      </c>
      <c r="D20" s="79">
        <v>80</v>
      </c>
      <c r="E20" s="83">
        <v>120</v>
      </c>
      <c r="F20" s="79">
        <v>100</v>
      </c>
      <c r="G20" s="83">
        <v>75</v>
      </c>
      <c r="H20" s="89">
        <v>85</v>
      </c>
      <c r="I20" s="104">
        <v>200</v>
      </c>
      <c r="J20" s="79">
        <v>300</v>
      </c>
      <c r="K20" s="83">
        <v>160</v>
      </c>
      <c r="L20" s="34">
        <v>0.43231441048034935</v>
      </c>
      <c r="M20" s="193">
        <v>12</v>
      </c>
    </row>
    <row r="21" spans="1:15" ht="15.5" x14ac:dyDescent="0.35">
      <c r="A21" s="102" t="s">
        <v>60</v>
      </c>
      <c r="B21" s="79">
        <v>445</v>
      </c>
      <c r="C21" s="83" t="s">
        <v>164</v>
      </c>
      <c r="D21" s="79">
        <v>90</v>
      </c>
      <c r="E21" s="83">
        <v>90</v>
      </c>
      <c r="F21" s="79">
        <v>70</v>
      </c>
      <c r="G21" s="83">
        <v>40</v>
      </c>
      <c r="H21" s="89">
        <v>155</v>
      </c>
      <c r="I21" s="104">
        <v>185</v>
      </c>
      <c r="J21" s="79">
        <v>250</v>
      </c>
      <c r="K21" s="83">
        <v>195</v>
      </c>
      <c r="L21" s="34">
        <v>0.40939597315436244</v>
      </c>
      <c r="M21" s="193">
        <v>13</v>
      </c>
    </row>
    <row r="22" spans="1:15" ht="15.5" x14ac:dyDescent="0.35">
      <c r="A22" s="102" t="s">
        <v>61</v>
      </c>
      <c r="B22" s="79">
        <v>370</v>
      </c>
      <c r="C22" s="83" t="s">
        <v>164</v>
      </c>
      <c r="D22" s="79">
        <v>70</v>
      </c>
      <c r="E22" s="83">
        <v>80</v>
      </c>
      <c r="F22" s="79">
        <v>70</v>
      </c>
      <c r="G22" s="83">
        <v>50</v>
      </c>
      <c r="H22" s="89">
        <v>100</v>
      </c>
      <c r="I22" s="104">
        <v>145</v>
      </c>
      <c r="J22" s="79">
        <v>220</v>
      </c>
      <c r="K22" s="83">
        <v>150</v>
      </c>
      <c r="L22" s="34">
        <v>0.39945652173913043</v>
      </c>
      <c r="M22" s="193">
        <v>13</v>
      </c>
    </row>
    <row r="23" spans="1:15" ht="15.5" x14ac:dyDescent="0.35">
      <c r="A23" s="102" t="s">
        <v>62</v>
      </c>
      <c r="B23" s="79">
        <v>390</v>
      </c>
      <c r="C23" s="83">
        <v>10</v>
      </c>
      <c r="D23" s="79">
        <v>95</v>
      </c>
      <c r="E23" s="83">
        <v>85</v>
      </c>
      <c r="F23" s="79">
        <v>60</v>
      </c>
      <c r="G23" s="83">
        <v>30</v>
      </c>
      <c r="H23" s="89">
        <v>110</v>
      </c>
      <c r="I23" s="104">
        <v>185</v>
      </c>
      <c r="J23" s="79">
        <v>245</v>
      </c>
      <c r="K23" s="83">
        <v>140</v>
      </c>
      <c r="L23" s="34">
        <v>0.48195876288659795</v>
      </c>
      <c r="M23" s="193">
        <v>11</v>
      </c>
    </row>
    <row r="24" spans="1:15" ht="15.5" x14ac:dyDescent="0.35">
      <c r="A24" s="102" t="s">
        <v>63</v>
      </c>
      <c r="B24" s="79">
        <v>275</v>
      </c>
      <c r="C24" s="90">
        <v>0</v>
      </c>
      <c r="D24" s="79">
        <v>80</v>
      </c>
      <c r="E24" s="83">
        <v>70</v>
      </c>
      <c r="F24" s="79">
        <v>45</v>
      </c>
      <c r="G24" s="83">
        <v>30</v>
      </c>
      <c r="H24" s="89">
        <v>50</v>
      </c>
      <c r="I24" s="104">
        <v>145</v>
      </c>
      <c r="J24" s="79">
        <v>190</v>
      </c>
      <c r="K24" s="83">
        <v>85</v>
      </c>
      <c r="L24" s="34">
        <v>0.53090909090909089</v>
      </c>
      <c r="M24" s="193">
        <v>10</v>
      </c>
    </row>
    <row r="25" spans="1:15" ht="15.5" x14ac:dyDescent="0.35">
      <c r="A25" s="102" t="s">
        <v>64</v>
      </c>
      <c r="B25" s="79">
        <v>210</v>
      </c>
      <c r="C25" s="83" t="s">
        <v>164</v>
      </c>
      <c r="D25" s="79">
        <v>30</v>
      </c>
      <c r="E25" s="83">
        <v>40</v>
      </c>
      <c r="F25" s="79">
        <v>35</v>
      </c>
      <c r="G25" s="83">
        <v>25</v>
      </c>
      <c r="H25" s="89">
        <v>75</v>
      </c>
      <c r="I25" s="104">
        <v>75</v>
      </c>
      <c r="J25" s="79">
        <v>110</v>
      </c>
      <c r="K25" s="83">
        <v>100</v>
      </c>
      <c r="L25" s="34">
        <v>0.35545023696682465</v>
      </c>
      <c r="M25" s="193">
        <v>15</v>
      </c>
    </row>
    <row r="26" spans="1:15" ht="15.5" x14ac:dyDescent="0.35">
      <c r="A26" s="102" t="s">
        <v>65</v>
      </c>
      <c r="B26" s="79">
        <v>265</v>
      </c>
      <c r="C26" s="83" t="s">
        <v>164</v>
      </c>
      <c r="D26" s="79">
        <v>20</v>
      </c>
      <c r="E26" s="83">
        <v>35</v>
      </c>
      <c r="F26" s="79">
        <v>90</v>
      </c>
      <c r="G26" s="83">
        <v>55</v>
      </c>
      <c r="H26" s="89">
        <v>65</v>
      </c>
      <c r="I26" s="104">
        <v>55</v>
      </c>
      <c r="J26" s="79">
        <v>150</v>
      </c>
      <c r="K26" s="83">
        <v>115</v>
      </c>
      <c r="L26" s="34">
        <v>0.21428571428571427</v>
      </c>
      <c r="M26" s="193">
        <v>15</v>
      </c>
    </row>
    <row r="27" spans="1:15" ht="15.5" x14ac:dyDescent="0.35">
      <c r="A27" s="102" t="s">
        <v>81</v>
      </c>
      <c r="B27" s="79">
        <v>260</v>
      </c>
      <c r="C27" s="83" t="s">
        <v>164</v>
      </c>
      <c r="D27" s="79">
        <v>15</v>
      </c>
      <c r="E27" s="83">
        <v>65</v>
      </c>
      <c r="F27" s="79">
        <v>65</v>
      </c>
      <c r="G27" s="83">
        <v>25</v>
      </c>
      <c r="H27" s="89">
        <v>90</v>
      </c>
      <c r="I27" s="104">
        <v>80</v>
      </c>
      <c r="J27" s="79">
        <v>145</v>
      </c>
      <c r="K27" s="83">
        <v>115</v>
      </c>
      <c r="L27" s="190">
        <v>0.31007751937984496</v>
      </c>
      <c r="M27" s="193">
        <v>13</v>
      </c>
    </row>
    <row r="28" spans="1:15" ht="14.5" customHeight="1" x14ac:dyDescent="0.35">
      <c r="A28" s="105" t="s">
        <v>114</v>
      </c>
      <c r="B28" s="95">
        <v>1</v>
      </c>
      <c r="C28" s="95">
        <v>0.01</v>
      </c>
      <c r="D28" s="95">
        <v>0.14000000000000001</v>
      </c>
      <c r="E28" s="95">
        <v>0.22</v>
      </c>
      <c r="F28" s="95">
        <v>0.2</v>
      </c>
      <c r="G28" s="95">
        <v>0.12</v>
      </c>
      <c r="H28" s="95">
        <v>0.31</v>
      </c>
      <c r="I28" s="206">
        <v>0.37</v>
      </c>
      <c r="J28" s="95">
        <v>0.56999999999999995</v>
      </c>
      <c r="K28" s="96">
        <v>0.43</v>
      </c>
      <c r="L28" s="106" t="s">
        <v>169</v>
      </c>
      <c r="M28" s="107" t="s">
        <v>169</v>
      </c>
    </row>
    <row r="29" spans="1:15" x14ac:dyDescent="0.35">
      <c r="A29" s="8" t="s">
        <v>9</v>
      </c>
      <c r="B29" s="8"/>
      <c r="C29" s="8"/>
      <c r="D29" s="8"/>
      <c r="E29" s="8"/>
      <c r="F29" s="8"/>
      <c r="G29" s="8"/>
      <c r="H29" s="8"/>
      <c r="I29" s="8"/>
      <c r="J29" s="8"/>
      <c r="K29" s="8"/>
      <c r="L29" s="8"/>
      <c r="M29" s="8"/>
      <c r="N29" s="8"/>
      <c r="O29" s="8"/>
    </row>
    <row r="30" spans="1:15" ht="15" customHeight="1" x14ac:dyDescent="0.35">
      <c r="A30" s="9" t="s">
        <v>118</v>
      </c>
      <c r="B30" s="9"/>
      <c r="C30" s="9"/>
      <c r="D30" s="9"/>
      <c r="E30" s="9"/>
      <c r="F30" s="9"/>
      <c r="G30" s="9"/>
      <c r="H30" s="9"/>
      <c r="I30" s="9"/>
      <c r="J30" s="58"/>
      <c r="K30" s="58"/>
      <c r="L30" s="58"/>
      <c r="M30" s="58"/>
      <c r="N30" s="58"/>
      <c r="O30" s="58"/>
    </row>
    <row r="31" spans="1:15" ht="174" x14ac:dyDescent="0.35">
      <c r="A31" s="7" t="s">
        <v>373</v>
      </c>
      <c r="B31" s="59"/>
      <c r="C31" s="59"/>
      <c r="D31" s="59"/>
      <c r="E31" s="59"/>
      <c r="F31" s="59"/>
      <c r="G31" s="59"/>
      <c r="H31" s="59"/>
      <c r="I31" s="59"/>
      <c r="J31" s="59"/>
      <c r="K31" s="59"/>
      <c r="L31" s="59"/>
      <c r="M31" s="59"/>
      <c r="N31" s="59"/>
      <c r="O31" s="59"/>
    </row>
    <row r="32" spans="1:15" ht="14.5" customHeight="1" x14ac:dyDescent="0.35">
      <c r="A32" s="8" t="s">
        <v>115</v>
      </c>
      <c r="B32" s="8"/>
      <c r="C32" s="8"/>
      <c r="D32" s="8"/>
      <c r="E32" s="8"/>
      <c r="F32" s="8"/>
      <c r="G32" s="8"/>
      <c r="H32" s="8"/>
      <c r="I32" s="8"/>
      <c r="J32" s="8"/>
      <c r="K32" s="8"/>
      <c r="L32" s="8"/>
      <c r="M32" s="8"/>
      <c r="N32" s="8"/>
      <c r="O32" s="8"/>
    </row>
    <row r="33" spans="1:15" ht="14.5" customHeight="1" x14ac:dyDescent="0.35">
      <c r="A33" s="8" t="s">
        <v>119</v>
      </c>
      <c r="B33" s="8"/>
      <c r="C33" s="8"/>
      <c r="D33" s="8"/>
      <c r="E33" s="8"/>
      <c r="F33" s="8"/>
      <c r="G33" s="8"/>
      <c r="H33" s="8"/>
      <c r="I33" s="8"/>
      <c r="J33" s="8"/>
      <c r="K33" s="8"/>
      <c r="L33" s="8"/>
      <c r="M33" s="8"/>
      <c r="N33" s="8"/>
      <c r="O33" s="8"/>
    </row>
    <row r="34" spans="1:15" ht="14.5" customHeight="1" x14ac:dyDescent="0.35">
      <c r="A34" s="59" t="s">
        <v>121</v>
      </c>
      <c r="B34" s="59"/>
      <c r="C34" s="59"/>
      <c r="D34" s="59"/>
      <c r="E34" s="59"/>
      <c r="F34" s="59"/>
      <c r="G34" s="59"/>
      <c r="H34" s="59"/>
      <c r="I34" s="59"/>
      <c r="J34" s="59"/>
      <c r="K34" s="59"/>
      <c r="L34" s="59"/>
      <c r="M34" s="59"/>
      <c r="N34" s="59"/>
      <c r="O34" s="59"/>
    </row>
    <row r="35" spans="1:15" ht="14.5" customHeight="1" x14ac:dyDescent="0.35">
      <c r="A35" s="57" t="s">
        <v>125</v>
      </c>
      <c r="B35" s="57"/>
      <c r="C35" s="57"/>
      <c r="D35" s="57"/>
      <c r="E35" s="57"/>
      <c r="F35" s="57"/>
      <c r="G35" s="57"/>
      <c r="H35" s="57"/>
      <c r="I35" s="57"/>
      <c r="J35" s="57"/>
      <c r="K35" s="57"/>
      <c r="L35" s="57"/>
      <c r="M35" s="57"/>
      <c r="N35" s="57"/>
      <c r="O35" s="57"/>
    </row>
  </sheetData>
  <conditionalFormatting sqref="B28:K28">
    <cfRule type="dataBar" priority="3">
      <dataBar>
        <cfvo type="num" val="0"/>
        <cfvo type="num" val="1"/>
        <color rgb="FFB4A9D4"/>
      </dataBar>
      <extLst>
        <ext xmlns:x14="http://schemas.microsoft.com/office/spreadsheetml/2009/9/main" uri="{B025F937-C7B1-47D3-B67F-A62EFF666E3E}">
          <x14:id>{B4E0A02A-3839-4C14-83B5-0ADA35B689D7}</x14:id>
        </ext>
      </extLst>
    </cfRule>
  </conditionalFormatting>
  <conditionalFormatting sqref="L6:L27">
    <cfRule type="dataBar" priority="2">
      <dataBar>
        <cfvo type="num" val="0"/>
        <cfvo type="num" val="1"/>
        <color rgb="FFB4A9D4"/>
      </dataBar>
      <extLst>
        <ext xmlns:x14="http://schemas.microsoft.com/office/spreadsheetml/2009/9/main" uri="{B025F937-C7B1-47D3-B67F-A62EFF666E3E}">
          <x14:id>{68DD2970-9986-4E9A-A346-5CC8242CF30A}</x14:id>
        </ext>
      </extLst>
    </cfRule>
  </conditionalFormatting>
  <conditionalFormatting sqref="L5">
    <cfRule type="dataBar" priority="1">
      <dataBar>
        <cfvo type="num" val="0"/>
        <cfvo type="num" val="1"/>
        <color rgb="FFB4A9D4"/>
      </dataBar>
      <extLst>
        <ext xmlns:x14="http://schemas.microsoft.com/office/spreadsheetml/2009/9/main" uri="{B025F937-C7B1-47D3-B67F-A62EFF666E3E}">
          <x14:id>{6713556A-D54E-4B66-A30C-995444EFC570}</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4E0A02A-3839-4C14-83B5-0ADA35B689D7}">
            <x14:dataBar minLength="0" maxLength="100" gradient="0">
              <x14:cfvo type="num">
                <xm:f>0</xm:f>
              </x14:cfvo>
              <x14:cfvo type="num">
                <xm:f>1</xm:f>
              </x14:cfvo>
              <x14:negativeFillColor rgb="FFFF0000"/>
              <x14:axisColor rgb="FF000000"/>
            </x14:dataBar>
          </x14:cfRule>
          <xm:sqref>B28:K28</xm:sqref>
        </x14:conditionalFormatting>
        <x14:conditionalFormatting xmlns:xm="http://schemas.microsoft.com/office/excel/2006/main">
          <x14:cfRule type="dataBar" id="{68DD2970-9986-4E9A-A346-5CC8242CF30A}">
            <x14:dataBar minLength="0" maxLength="100" gradient="0">
              <x14:cfvo type="num">
                <xm:f>0</xm:f>
              </x14:cfvo>
              <x14:cfvo type="num">
                <xm:f>1</xm:f>
              </x14:cfvo>
              <x14:negativeFillColor rgb="FFFF0000"/>
              <x14:axisColor rgb="FF000000"/>
            </x14:dataBar>
          </x14:cfRule>
          <xm:sqref>L6:L27</xm:sqref>
        </x14:conditionalFormatting>
        <x14:conditionalFormatting xmlns:xm="http://schemas.microsoft.com/office/excel/2006/main">
          <x14:cfRule type="dataBar" id="{6713556A-D54E-4B66-A30C-995444EFC570}">
            <x14:dataBar minLength="0" maxLength="100" gradient="0">
              <x14:cfvo type="num">
                <xm:f>0</xm:f>
              </x14:cfvo>
              <x14:cfvo type="num">
                <xm:f>1</xm:f>
              </x14:cfvo>
              <x14:negativeFillColor rgb="FFFF0000"/>
              <x14:axisColor rgb="FF000000"/>
            </x14:dataBar>
          </x14:cfRule>
          <xm:sqref>L5</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zoomScale="75" zoomScaleNormal="75" workbookViewId="0"/>
  </sheetViews>
  <sheetFormatPr defaultRowHeight="14.5" x14ac:dyDescent="0.35"/>
  <cols>
    <col min="1" max="1" width="36" customWidth="1"/>
    <col min="2" max="2" width="27.26953125" customWidth="1"/>
    <col min="3" max="3" width="19.54296875" customWidth="1"/>
    <col min="6" max="6" width="10.81640625" customWidth="1"/>
    <col min="10" max="10" width="14.453125" customWidth="1"/>
    <col min="11" max="11" width="14.6328125" customWidth="1"/>
  </cols>
  <sheetData>
    <row r="1" spans="1:3" ht="21" x14ac:dyDescent="0.5">
      <c r="A1" s="60" t="s">
        <v>126</v>
      </c>
      <c r="B1" s="60"/>
    </row>
    <row r="2" spans="1:3" ht="15.5" x14ac:dyDescent="0.35">
      <c r="A2" s="61" t="s">
        <v>93</v>
      </c>
      <c r="B2" s="62"/>
    </row>
    <row r="3" spans="1:3" ht="15.5" x14ac:dyDescent="0.35">
      <c r="A3" s="40" t="s">
        <v>370</v>
      </c>
      <c r="B3" s="62"/>
    </row>
    <row r="4" spans="1:3" ht="15.5" x14ac:dyDescent="0.35">
      <c r="A4" s="40" t="s">
        <v>94</v>
      </c>
      <c r="B4" s="62"/>
    </row>
    <row r="5" spans="1:3" ht="31" x14ac:dyDescent="0.35">
      <c r="A5" s="207" t="s">
        <v>95</v>
      </c>
      <c r="B5" s="46" t="s">
        <v>96</v>
      </c>
      <c r="C5" s="86"/>
    </row>
    <row r="6" spans="1:3" ht="48.5" x14ac:dyDescent="0.35">
      <c r="A6" s="65" t="s">
        <v>97</v>
      </c>
      <c r="B6" s="66" t="s">
        <v>185</v>
      </c>
      <c r="C6" s="108" t="s">
        <v>127</v>
      </c>
    </row>
    <row r="7" spans="1:3" ht="15.5" x14ac:dyDescent="0.35">
      <c r="A7" s="87" t="str">
        <f>"Total "&amp;$B$5</f>
        <v>Total All time</v>
      </c>
      <c r="B7" s="155">
        <f>VLOOKUP($A7, 'Table 7 Full data'!$A$1:$C$155, 2, FALSE)</f>
        <v>1254382</v>
      </c>
      <c r="C7" s="93">
        <f>VLOOKUP($A7, 'Table 7 Full data'!$A$1:$C$155, 3, FALSE)</f>
        <v>1</v>
      </c>
    </row>
    <row r="8" spans="1:3" ht="15.5" x14ac:dyDescent="0.35">
      <c r="A8" s="109" t="str">
        <f>"Aberdeen City " &amp;$B$5</f>
        <v>Aberdeen City All time</v>
      </c>
      <c r="B8" s="110">
        <f>VLOOKUP($A8, 'Table 7 Full data'!$A$1:$C$155, 2, FALSE)</f>
        <v>17035</v>
      </c>
      <c r="C8" s="73">
        <f>VLOOKUP($A8, 'Table 7 Full data'!$A$1:$C$155, 3, FALSE)</f>
        <v>0.01</v>
      </c>
    </row>
    <row r="9" spans="1:3" ht="15.5" x14ac:dyDescent="0.35">
      <c r="A9" s="109" t="str">
        <f>"Aberdeenshire "&amp;$B$5</f>
        <v>Aberdeenshire All time</v>
      </c>
      <c r="B9" s="110">
        <f>VLOOKUP($A9, 'Table 7 Full data'!$A$1:$C$155, 2, FALSE)</f>
        <v>22180</v>
      </c>
      <c r="C9" s="50">
        <f>VLOOKUP($A9, 'Table 7 Full data'!$A$1:$C$155, 3, FALSE)</f>
        <v>0.02</v>
      </c>
    </row>
    <row r="10" spans="1:3" ht="15.5" x14ac:dyDescent="0.35">
      <c r="A10" s="109" t="str">
        <f>"Angus "&amp;$B$5</f>
        <v>Angus All time</v>
      </c>
      <c r="B10" s="110">
        <f>VLOOKUP($A10, 'Table 7 Full data'!$A$1:$C$155, 2, FALSE)</f>
        <v>37090</v>
      </c>
      <c r="C10" s="73">
        <f>VLOOKUP($A10, 'Table 7 Full data'!$A$1:$C$155, 3, FALSE)</f>
        <v>0.03</v>
      </c>
    </row>
    <row r="11" spans="1:3" ht="15.5" x14ac:dyDescent="0.35">
      <c r="A11" s="109" t="str">
        <f>"Argyll and Bute "&amp;$B$5</f>
        <v>Argyll and Bute All time</v>
      </c>
      <c r="B11" s="110">
        <f>VLOOKUP($A11, 'Table 7 Full data'!$A$1:$C$155, 2, FALSE)</f>
        <v>30702</v>
      </c>
      <c r="C11" s="50">
        <f>VLOOKUP($A11, 'Table 7 Full data'!$A$1:$C$155, 3, FALSE)</f>
        <v>0.02</v>
      </c>
    </row>
    <row r="12" spans="1:3" ht="15.5" x14ac:dyDescent="0.35">
      <c r="A12" s="109" t="str">
        <f>"Clackmannanshire "&amp;$B$5</f>
        <v>Clackmannanshire All time</v>
      </c>
      <c r="B12" s="110">
        <f>VLOOKUP($A12, 'Table 7 Full data'!$A$1:$C$155, 2, FALSE)</f>
        <v>14922</v>
      </c>
      <c r="C12" s="73">
        <f>VLOOKUP($A12, 'Table 7 Full data'!$A$1:$C$155, 3, FALSE)</f>
        <v>0.01</v>
      </c>
    </row>
    <row r="13" spans="1:3" ht="15.5" x14ac:dyDescent="0.35">
      <c r="A13" s="109" t="str">
        <f>"Dumfries and Galloway "&amp;$B$5</f>
        <v>Dumfries and Galloway All time</v>
      </c>
      <c r="B13" s="110">
        <f>VLOOKUP($A13, 'Table 7 Full data'!$A$1:$C$155, 2, FALSE)</f>
        <v>42523</v>
      </c>
      <c r="C13" s="50">
        <f>VLOOKUP($A13, 'Table 7 Full data'!$A$1:$C$155, 3, FALSE)</f>
        <v>0.03</v>
      </c>
    </row>
    <row r="14" spans="1:3" ht="15.5" x14ac:dyDescent="0.35">
      <c r="A14" s="109" t="str">
        <f>"Dundee City "&amp;$B$5</f>
        <v>Dundee City All time</v>
      </c>
      <c r="B14" s="110">
        <f>VLOOKUP($A14, 'Table 7 Full data'!$A$1:$C$155, 2, FALSE)</f>
        <v>43783</v>
      </c>
      <c r="C14" s="73">
        <f>VLOOKUP($A14, 'Table 7 Full data'!$A$1:$C$155, 3, FALSE)</f>
        <v>0.03</v>
      </c>
    </row>
    <row r="15" spans="1:3" ht="15.5" x14ac:dyDescent="0.35">
      <c r="A15" s="109" t="str">
        <f>"East Ayrshire "&amp;$B$5</f>
        <v>East Ayrshire All time</v>
      </c>
      <c r="B15" s="110">
        <f>VLOOKUP($A15, 'Table 7 Full data'!$A$1:$C$155, 2, FALSE)</f>
        <v>44664</v>
      </c>
      <c r="C15" s="50">
        <f>VLOOKUP($A15, 'Table 7 Full data'!$A$1:$C$155, 3, FALSE)</f>
        <v>0.04</v>
      </c>
    </row>
    <row r="16" spans="1:3" ht="15.5" x14ac:dyDescent="0.35">
      <c r="A16" s="109" t="str">
        <f>"East Dunbartonshire "&amp;$B$5</f>
        <v>East Dunbartonshire All time</v>
      </c>
      <c r="B16" s="110">
        <f>VLOOKUP($A16, 'Table 7 Full data'!$A$1:$C$155, 2, FALSE)</f>
        <v>33088</v>
      </c>
      <c r="C16" s="73">
        <f>VLOOKUP($A16, 'Table 7 Full data'!$A$1:$C$155, 3, FALSE)</f>
        <v>0.03</v>
      </c>
    </row>
    <row r="17" spans="1:3" ht="15.5" x14ac:dyDescent="0.35">
      <c r="A17" s="109" t="str">
        <f>"East Lothian "&amp;$B$5</f>
        <v>East Lothian All time</v>
      </c>
      <c r="B17" s="110">
        <f>VLOOKUP($A17, 'Table 7 Full data'!$A$1:$C$155, 2, FALSE)</f>
        <v>14587</v>
      </c>
      <c r="C17" s="50">
        <f>VLOOKUP($A17, 'Table 7 Full data'!$A$1:$C$155, 3, FALSE)</f>
        <v>0.01</v>
      </c>
    </row>
    <row r="18" spans="1:3" ht="15.5" x14ac:dyDescent="0.35">
      <c r="A18" s="109" t="str">
        <f>"East Renfrewshire "&amp;$B$5</f>
        <v>East Renfrewshire All time</v>
      </c>
      <c r="B18" s="110">
        <f>VLOOKUP($A18, 'Table 7 Full data'!$A$1:$C$155, 2, FALSE)</f>
        <v>29435</v>
      </c>
      <c r="C18" s="73">
        <f>VLOOKUP($A18, 'Table 7 Full data'!$A$1:$C$155, 3, FALSE)</f>
        <v>0.02</v>
      </c>
    </row>
    <row r="19" spans="1:3" ht="15.5" x14ac:dyDescent="0.35">
      <c r="A19" s="109" t="str">
        <f>"Edinburgh, City of "&amp;$B$5</f>
        <v>Edinburgh, City of All time</v>
      </c>
      <c r="B19" s="110">
        <f>VLOOKUP($A19, 'Table 7 Full data'!$A$1:$C$155, 2, FALSE)</f>
        <v>44049</v>
      </c>
      <c r="C19" s="50">
        <f>VLOOKUP($A19, 'Table 7 Full data'!$A$1:$C$155, 3, FALSE)</f>
        <v>0.04</v>
      </c>
    </row>
    <row r="20" spans="1:3" ht="15.5" x14ac:dyDescent="0.35">
      <c r="A20" s="109" t="str">
        <f>"Falkirk "&amp;$B$5</f>
        <v>Falkirk All time</v>
      </c>
      <c r="B20" s="110">
        <f>VLOOKUP($A20, 'Table 7 Full data'!$A$1:$C$155, 2, FALSE)</f>
        <v>37672</v>
      </c>
      <c r="C20" s="73">
        <f>VLOOKUP($A20, 'Table 7 Full data'!$A$1:$C$155, 3, FALSE)</f>
        <v>0.03</v>
      </c>
    </row>
    <row r="21" spans="1:3" ht="15.5" x14ac:dyDescent="0.35">
      <c r="A21" s="109" t="str">
        <f>"Fife "&amp;$B$5</f>
        <v>Fife All time</v>
      </c>
      <c r="B21" s="110">
        <f>VLOOKUP($A21, 'Table 7 Full data'!$A$1:$C$155, 2, FALSE)</f>
        <v>83960</v>
      </c>
      <c r="C21" s="50">
        <f>VLOOKUP($A21, 'Table 7 Full data'!$A$1:$C$155, 3, FALSE)</f>
        <v>7.0000000000000007E-2</v>
      </c>
    </row>
    <row r="22" spans="1:3" ht="15.5" x14ac:dyDescent="0.35">
      <c r="A22" s="109" t="str">
        <f>"Glasgow City "&amp;$B$5</f>
        <v>Glasgow City All time</v>
      </c>
      <c r="B22" s="110">
        <f>VLOOKUP($A22, 'Table 7 Full data'!$A$1:$C$155, 2, FALSE)</f>
        <v>178131</v>
      </c>
      <c r="C22" s="73">
        <f>VLOOKUP($A22, 'Table 7 Full data'!$A$1:$C$155, 3, FALSE)</f>
        <v>0.14000000000000001</v>
      </c>
    </row>
    <row r="23" spans="1:3" ht="15.5" x14ac:dyDescent="0.35">
      <c r="A23" s="109" t="str">
        <f>"Highland "&amp;$B$5</f>
        <v>Highland All time</v>
      </c>
      <c r="B23" s="110">
        <f>VLOOKUP($A23, 'Table 7 Full data'!$A$1:$C$155, 2, FALSE)</f>
        <v>46201</v>
      </c>
      <c r="C23" s="50">
        <f>VLOOKUP($A23, 'Table 7 Full data'!$A$1:$C$155, 3, FALSE)</f>
        <v>0.04</v>
      </c>
    </row>
    <row r="24" spans="1:3" ht="15.5" x14ac:dyDescent="0.35">
      <c r="A24" s="109" t="str">
        <f>"Inverclyde "&amp;$B$5</f>
        <v>Inverclyde All time</v>
      </c>
      <c r="B24" s="110">
        <f>VLOOKUP($A24, 'Table 7 Full data'!$A$1:$C$155, 2, FALSE)</f>
        <v>45253</v>
      </c>
      <c r="C24" s="73">
        <f>VLOOKUP($A24, 'Table 7 Full data'!$A$1:$C$155, 3, FALSE)</f>
        <v>0.04</v>
      </c>
    </row>
    <row r="25" spans="1:3" ht="15.5" x14ac:dyDescent="0.35">
      <c r="A25" s="109" t="str">
        <f>"Midlothian "&amp;$B$5</f>
        <v>Midlothian All time</v>
      </c>
      <c r="B25" s="110">
        <f>VLOOKUP($A25, 'Table 7 Full data'!$A$1:$C$155, 2, FALSE)</f>
        <v>19743</v>
      </c>
      <c r="C25" s="50">
        <f>VLOOKUP($A25, 'Table 7 Full data'!$A$1:$C$155, 3, FALSE)</f>
        <v>0.02</v>
      </c>
    </row>
    <row r="26" spans="1:3" ht="15.5" x14ac:dyDescent="0.35">
      <c r="A26" s="109" t="str">
        <f>"Moray "&amp;$B$5</f>
        <v>Moray All time</v>
      </c>
      <c r="B26" s="110">
        <f>VLOOKUP($A26, 'Table 7 Full data'!$A$1:$C$155, 2, FALSE)</f>
        <v>13382</v>
      </c>
      <c r="C26" s="73">
        <f>VLOOKUP($A26, 'Table 7 Full data'!$A$1:$C$155, 3, FALSE)</f>
        <v>0.01</v>
      </c>
    </row>
    <row r="27" spans="1:3" ht="15.5" x14ac:dyDescent="0.35">
      <c r="A27" s="109" t="str">
        <f>"Na h-Eileanan Siar "&amp;$B$5</f>
        <v>Na h-Eileanan Siar All time</v>
      </c>
      <c r="B27" s="110">
        <f>VLOOKUP($A27, 'Table 7 Full data'!$A$1:$C$155, 2, FALSE)</f>
        <v>5157</v>
      </c>
      <c r="C27" s="50">
        <f>VLOOKUP($A27, 'Table 7 Full data'!$A$1:$C$155, 3, FALSE)</f>
        <v>0</v>
      </c>
    </row>
    <row r="28" spans="1:3" ht="15.5" x14ac:dyDescent="0.35">
      <c r="A28" s="109" t="str">
        <f>"North Ayrshire "&amp;$B$5</f>
        <v>North Ayrshire All time</v>
      </c>
      <c r="B28" s="110">
        <f>VLOOKUP($A28, 'Table 7 Full data'!$A$1:$C$155, 2, FALSE)</f>
        <v>48592</v>
      </c>
      <c r="C28" s="73">
        <f>VLOOKUP($A28, 'Table 7 Full data'!$A$1:$C$155, 3, FALSE)</f>
        <v>0.04</v>
      </c>
    </row>
    <row r="29" spans="1:3" ht="15.5" x14ac:dyDescent="0.35">
      <c r="A29" s="109" t="str">
        <f>"North Lanarkshire "&amp;$B$5</f>
        <v>North Lanarkshire All time</v>
      </c>
      <c r="B29" s="110">
        <f>VLOOKUP($A29, 'Table 7 Full data'!$A$1:$C$155, 2, FALSE)</f>
        <v>103016</v>
      </c>
      <c r="C29" s="50">
        <f>VLOOKUP($A29, 'Table 7 Full data'!$A$1:$C$155, 3, FALSE)</f>
        <v>0.08</v>
      </c>
    </row>
    <row r="30" spans="1:3" ht="15.5" x14ac:dyDescent="0.35">
      <c r="A30" s="109" t="str">
        <f>"Orkney Islands "&amp;$B$5</f>
        <v>Orkney Islands All time</v>
      </c>
      <c r="B30" s="110">
        <f>VLOOKUP($A30, 'Table 7 Full data'!$A$1:$C$155, 2, FALSE)</f>
        <v>1523</v>
      </c>
      <c r="C30" s="73">
        <f>VLOOKUP($A30, 'Table 7 Full data'!$A$1:$C$155, 3, FALSE)</f>
        <v>0</v>
      </c>
    </row>
    <row r="31" spans="1:3" ht="15.5" x14ac:dyDescent="0.35">
      <c r="A31" s="109" t="str">
        <f>"Perth and Kinross "&amp;$B$5</f>
        <v>Perth and Kinross All time</v>
      </c>
      <c r="B31" s="110">
        <f>VLOOKUP($A31, 'Table 7 Full data'!$A$1:$C$155, 2, FALSE)</f>
        <v>37680</v>
      </c>
      <c r="C31" s="50">
        <f>VLOOKUP($A31, 'Table 7 Full data'!$A$1:$C$155, 3, FALSE)</f>
        <v>0.03</v>
      </c>
    </row>
    <row r="32" spans="1:3" ht="15.5" x14ac:dyDescent="0.35">
      <c r="A32" s="109" t="str">
        <f>"Renfrewshire "&amp;$B$5</f>
        <v>Renfrewshire All time</v>
      </c>
      <c r="B32" s="110">
        <f>VLOOKUP($A32, 'Table 7 Full data'!$A$1:$C$155, 2, FALSE)</f>
        <v>50694</v>
      </c>
      <c r="C32" s="73">
        <f>VLOOKUP($A32, 'Table 7 Full data'!$A$1:$C$155, 3, FALSE)</f>
        <v>0.04</v>
      </c>
    </row>
    <row r="33" spans="1:7" ht="15.5" x14ac:dyDescent="0.35">
      <c r="A33" s="109" t="str">
        <f>"Scottish Borders "&amp;$B$5</f>
        <v>Scottish Borders All time</v>
      </c>
      <c r="B33" s="110">
        <f>VLOOKUP($A33, 'Table 7 Full data'!$A$1:$C$155, 2, FALSE)</f>
        <v>14864</v>
      </c>
      <c r="C33" s="50">
        <f>VLOOKUP($A33, 'Table 7 Full data'!$A$1:$C$155, 3, FALSE)</f>
        <v>0.01</v>
      </c>
    </row>
    <row r="34" spans="1:7" ht="15.5" x14ac:dyDescent="0.35">
      <c r="A34" s="109" t="str">
        <f>"Shetland Islands "&amp;$B$5</f>
        <v>Shetland Islands All time</v>
      </c>
      <c r="B34" s="110">
        <f>VLOOKUP($A34, 'Table 7 Full data'!$A$1:$C$155, 2, FALSE)</f>
        <v>4262</v>
      </c>
      <c r="C34" s="73">
        <f>VLOOKUP($A34, 'Table 7 Full data'!$A$1:$C$155, 3, FALSE)</f>
        <v>0</v>
      </c>
    </row>
    <row r="35" spans="1:7" ht="15.5" x14ac:dyDescent="0.35">
      <c r="A35" s="109" t="str">
        <f>"South Ayrshire "&amp;$B$5</f>
        <v>South Ayrshire All time</v>
      </c>
      <c r="B35" s="110">
        <f>VLOOKUP($A35, 'Table 7 Full data'!$A$1:$C$155, 2, FALSE)</f>
        <v>24603</v>
      </c>
      <c r="C35" s="50">
        <f>VLOOKUP($A35, 'Table 7 Full data'!$A$1:$C$155, 3, FALSE)</f>
        <v>0.02</v>
      </c>
    </row>
    <row r="36" spans="1:7" ht="15.5" x14ac:dyDescent="0.35">
      <c r="A36" s="109" t="str">
        <f>"South Lanarkshire "&amp;$B$5</f>
        <v>South Lanarkshire All time</v>
      </c>
      <c r="B36" s="110">
        <f>VLOOKUP($A36, 'Table 7 Full data'!$A$1:$C$155, 2, FALSE)</f>
        <v>68929</v>
      </c>
      <c r="C36" s="73">
        <f>VLOOKUP($A36, 'Table 7 Full data'!$A$1:$C$155, 3, FALSE)</f>
        <v>0.06</v>
      </c>
    </row>
    <row r="37" spans="1:7" ht="15.5" x14ac:dyDescent="0.35">
      <c r="A37" s="109" t="str">
        <f>"Stirling "&amp;$B$5</f>
        <v>Stirling All time</v>
      </c>
      <c r="B37" s="110">
        <f>VLOOKUP($A37, 'Table 7 Full data'!$A$1:$C$155, 2, FALSE)</f>
        <v>21289</v>
      </c>
      <c r="C37" s="50">
        <f>VLOOKUP($A37, 'Table 7 Full data'!$A$1:$C$155, 3, FALSE)</f>
        <v>0.02</v>
      </c>
    </row>
    <row r="38" spans="1:7" ht="15.5" x14ac:dyDescent="0.35">
      <c r="A38" s="109" t="str">
        <f>"West Dunbartonshire "&amp;$B$5</f>
        <v>West Dunbartonshire All time</v>
      </c>
      <c r="B38" s="110">
        <f>VLOOKUP($A38, 'Table 7 Full data'!$A$1:$C$155, 2, FALSE)</f>
        <v>21905</v>
      </c>
      <c r="C38" s="73">
        <f>VLOOKUP($A38, 'Table 7 Full data'!$A$1:$C$155, 3, FALSE)</f>
        <v>0.02</v>
      </c>
    </row>
    <row r="39" spans="1:7" ht="15.5" x14ac:dyDescent="0.35">
      <c r="A39" s="109" t="str">
        <f>"West Lothian "&amp;$B$5</f>
        <v>West Lothian All time</v>
      </c>
      <c r="B39" s="110">
        <f>VLOOKUP($A39, 'Table 7 Full data'!$A$1:$C$155, 2, FALSE)</f>
        <v>52864</v>
      </c>
      <c r="C39" s="50">
        <f>VLOOKUP($A39, 'Table 7 Full data'!$A$1:$C$155, 3, FALSE)</f>
        <v>0.04</v>
      </c>
    </row>
    <row r="40" spans="1:7" ht="15.5" x14ac:dyDescent="0.35">
      <c r="A40" s="109" t="str">
        <f>"Unknown - Scottish Address "&amp;$B$5</f>
        <v>Unknown - Scottish Address All time</v>
      </c>
      <c r="B40" s="110">
        <f>VLOOKUP($A40, 'Table 7 Full data'!$A$1:$C$155, 2, FALSE)</f>
        <v>0</v>
      </c>
      <c r="C40" s="73">
        <f>VLOOKUP($A40, 'Table 7 Full data'!$A$1:$C$155, 3, FALSE)</f>
        <v>0</v>
      </c>
    </row>
    <row r="41" spans="1:7" ht="15.5" x14ac:dyDescent="0.35">
      <c r="A41" s="109" t="str">
        <f>"Non-Scottish postcode "&amp;$B$5</f>
        <v>Non-Scottish postcode All time</v>
      </c>
      <c r="B41" s="110" t="str">
        <f>VLOOKUP($A41, 'Table 7 Full data'!$A$1:$C$155, 2, FALSE)</f>
        <v>[c]</v>
      </c>
      <c r="C41" s="50">
        <f>VLOOKUP($A41, 'Table 7 Full data'!$A$1:$C$155, 3, FALSE)</f>
        <v>0</v>
      </c>
    </row>
    <row r="42" spans="1:7" ht="15.5" x14ac:dyDescent="0.35">
      <c r="A42" s="111" t="str">
        <f>"No Address "&amp;$B$5</f>
        <v>No Address All time</v>
      </c>
      <c r="B42" s="112" t="str">
        <f>VLOOKUP($A42, 'Table 7 Full data'!$A$1:$C$155, 2, FALSE)</f>
        <v>[c]</v>
      </c>
      <c r="C42" s="73">
        <f>VLOOKUP($A42, 'Table 7 Full data'!$A$1:$C$155, 3, FALSE)</f>
        <v>0</v>
      </c>
      <c r="E42" s="17"/>
    </row>
    <row r="43" spans="1:7" ht="14.5" customHeight="1" x14ac:dyDescent="0.35">
      <c r="A43" s="8" t="s">
        <v>35</v>
      </c>
      <c r="B43" s="8"/>
      <c r="C43" s="8"/>
      <c r="D43" s="8"/>
      <c r="E43" s="8"/>
      <c r="F43" s="8"/>
      <c r="G43" s="8"/>
    </row>
    <row r="44" spans="1:7" ht="14.5" customHeight="1" x14ac:dyDescent="0.35">
      <c r="A44" s="54" t="s">
        <v>128</v>
      </c>
      <c r="B44" s="42"/>
      <c r="C44" s="42"/>
      <c r="D44" s="42"/>
      <c r="E44" s="42"/>
      <c r="F44" s="42"/>
      <c r="G44" s="42"/>
    </row>
    <row r="45" spans="1:7" ht="152" customHeight="1" x14ac:dyDescent="0.35">
      <c r="A45" s="10" t="s">
        <v>98</v>
      </c>
      <c r="B45" s="8"/>
      <c r="C45" s="8"/>
      <c r="D45" s="8"/>
      <c r="E45" s="8"/>
      <c r="F45" s="8"/>
      <c r="G45" s="8"/>
    </row>
    <row r="46" spans="1:7" ht="14.5" customHeight="1" x14ac:dyDescent="0.35">
      <c r="A46" s="8" t="s">
        <v>130</v>
      </c>
      <c r="B46" s="8"/>
      <c r="C46" s="8"/>
      <c r="D46" s="8"/>
      <c r="E46" s="8"/>
      <c r="F46" s="8"/>
      <c r="G46" s="8"/>
    </row>
    <row r="47" spans="1:7" ht="14.5" customHeight="1" x14ac:dyDescent="0.35">
      <c r="A47" s="8" t="s">
        <v>131</v>
      </c>
      <c r="B47" s="8"/>
      <c r="C47" s="8"/>
      <c r="D47" s="8"/>
      <c r="E47" s="8"/>
      <c r="F47" s="8"/>
      <c r="G47" s="8"/>
    </row>
    <row r="48" spans="1:7" ht="14.5" customHeight="1" x14ac:dyDescent="0.35">
      <c r="A48" s="8" t="s">
        <v>129</v>
      </c>
      <c r="B48" s="8"/>
      <c r="C48" s="8"/>
      <c r="D48" s="8"/>
      <c r="E48" s="8"/>
      <c r="F48" s="8"/>
      <c r="G48" s="8"/>
    </row>
    <row r="49" spans="1:7" ht="14.5" customHeight="1" x14ac:dyDescent="0.35">
      <c r="A49" s="8" t="s">
        <v>172</v>
      </c>
      <c r="B49" s="8"/>
      <c r="C49" s="8"/>
      <c r="D49" s="8"/>
      <c r="E49" s="8"/>
      <c r="F49" s="8"/>
      <c r="G49" s="8"/>
    </row>
    <row r="50" spans="1:7" ht="14.5" customHeight="1" x14ac:dyDescent="0.35">
      <c r="A50" s="8" t="s">
        <v>173</v>
      </c>
      <c r="B50" s="59"/>
      <c r="C50" s="59"/>
      <c r="D50" s="59"/>
      <c r="E50" s="59"/>
      <c r="F50" s="59"/>
      <c r="G50" s="59"/>
    </row>
    <row r="51" spans="1:7" ht="14.5" customHeight="1" x14ac:dyDescent="0.35">
      <c r="A51" s="59" t="s">
        <v>132</v>
      </c>
      <c r="B51" s="8"/>
      <c r="C51" s="8"/>
      <c r="D51" s="8"/>
      <c r="E51" s="8"/>
      <c r="F51" s="8"/>
      <c r="G51" s="8"/>
    </row>
    <row r="52" spans="1:7" ht="14.5" customHeight="1" x14ac:dyDescent="0.35">
      <c r="A52" s="8" t="s">
        <v>8</v>
      </c>
      <c r="B52" s="8"/>
      <c r="C52" s="8"/>
      <c r="D52" s="8"/>
      <c r="E52" s="8"/>
      <c r="F52" s="8"/>
      <c r="G52" s="8"/>
    </row>
    <row r="55" spans="1:7" ht="15.5" x14ac:dyDescent="0.35">
      <c r="A55" s="63"/>
    </row>
    <row r="56" spans="1:7" ht="15.5" x14ac:dyDescent="0.35">
      <c r="A56" s="55"/>
    </row>
    <row r="57" spans="1:7" ht="15.5" x14ac:dyDescent="0.35">
      <c r="A57" s="56"/>
    </row>
    <row r="58" spans="1:7" ht="15.5" x14ac:dyDescent="0.35">
      <c r="A58" s="54"/>
    </row>
    <row r="59" spans="1:7" ht="15.5" x14ac:dyDescent="0.35">
      <c r="A59" s="54"/>
    </row>
    <row r="60" spans="1:7" ht="15.5" x14ac:dyDescent="0.35">
      <c r="A60" s="64"/>
    </row>
  </sheetData>
  <conditionalFormatting sqref="C7:C42">
    <cfRule type="dataBar" priority="1">
      <dataBar>
        <cfvo type="num" val="0"/>
        <cfvo type="num" val="1"/>
        <color rgb="FFB4A9D4"/>
      </dataBar>
      <extLst>
        <ext xmlns:x14="http://schemas.microsoft.com/office/spreadsheetml/2009/9/main" uri="{B025F937-C7B1-47D3-B67F-A62EFF666E3E}">
          <x14:id>{BA17155E-4E88-496E-8696-8983BA55B4A6}</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BA17155E-4E88-496E-8696-8983BA55B4A6}">
            <x14:dataBar minLength="0" maxLength="100" gradient="0">
              <x14:cfvo type="num">
                <xm:f>0</xm:f>
              </x14:cfvo>
              <x14:cfvo type="num">
                <xm:f>1</xm:f>
              </x14:cfvo>
              <x14:negativeFillColor rgb="FFFF0000"/>
              <x14:axisColor rgb="FF000000"/>
            </x14:dataBar>
          </x14:cfRule>
          <xm:sqref>C7:C42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'Table 7 Full data'!$F$2:$F$5</xm:f>
          </x14:formula1>
          <xm:sqref>B5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zoomScale="75" zoomScaleNormal="75" workbookViewId="0"/>
  </sheetViews>
  <sheetFormatPr defaultRowHeight="14.5" x14ac:dyDescent="0.35"/>
  <cols>
    <col min="1" max="1" width="26.54296875" customWidth="1"/>
    <col min="2" max="2" width="23.26953125" customWidth="1"/>
    <col min="3" max="3" width="14.26953125" customWidth="1"/>
  </cols>
  <sheetData>
    <row r="1" spans="1:4" ht="21" x14ac:dyDescent="0.5">
      <c r="A1" s="38" t="s">
        <v>33</v>
      </c>
    </row>
    <row r="2" spans="1:4" ht="15.5" x14ac:dyDescent="0.35">
      <c r="A2" s="44" t="s">
        <v>133</v>
      </c>
    </row>
    <row r="3" spans="1:4" ht="15.5" x14ac:dyDescent="0.35">
      <c r="A3" s="40" t="s">
        <v>135</v>
      </c>
    </row>
    <row r="4" spans="1:4" ht="64" customHeight="1" x14ac:dyDescent="0.35">
      <c r="A4" s="67" t="s">
        <v>171</v>
      </c>
      <c r="B4" s="113" t="s">
        <v>186</v>
      </c>
      <c r="C4" s="12"/>
      <c r="D4" s="12"/>
    </row>
    <row r="5" spans="1:4" ht="15.5" x14ac:dyDescent="0.35">
      <c r="A5" s="123" t="s">
        <v>7</v>
      </c>
      <c r="B5" s="114">
        <v>1254382</v>
      </c>
      <c r="C5" s="13"/>
      <c r="D5" s="14"/>
    </row>
    <row r="6" spans="1:4" ht="15.5" x14ac:dyDescent="0.35">
      <c r="A6" s="115" t="s">
        <v>134</v>
      </c>
      <c r="B6" s="119">
        <v>66900</v>
      </c>
      <c r="C6" s="15"/>
      <c r="D6" s="16"/>
    </row>
    <row r="7" spans="1:4" ht="15.5" x14ac:dyDescent="0.35">
      <c r="A7" s="116" t="s">
        <v>47</v>
      </c>
      <c r="B7" s="120">
        <v>69600</v>
      </c>
      <c r="C7" s="15"/>
      <c r="D7" s="16"/>
    </row>
    <row r="8" spans="1:4" ht="15.5" x14ac:dyDescent="0.35">
      <c r="A8" s="116" t="s">
        <v>48</v>
      </c>
      <c r="B8" s="120">
        <v>94800</v>
      </c>
      <c r="C8" s="15"/>
      <c r="D8" s="16"/>
    </row>
    <row r="9" spans="1:4" ht="15.5" x14ac:dyDescent="0.35">
      <c r="A9" s="116" t="s">
        <v>49</v>
      </c>
      <c r="B9" s="120">
        <v>55800</v>
      </c>
      <c r="C9" s="15"/>
      <c r="D9" s="16"/>
    </row>
    <row r="10" spans="1:4" ht="15.5" x14ac:dyDescent="0.35">
      <c r="A10" s="116" t="s">
        <v>50</v>
      </c>
      <c r="B10" s="120">
        <v>52800</v>
      </c>
      <c r="C10" s="15"/>
      <c r="D10" s="16"/>
    </row>
    <row r="11" spans="1:4" ht="15.5" x14ac:dyDescent="0.35">
      <c r="A11" s="116" t="s">
        <v>51</v>
      </c>
      <c r="B11" s="120">
        <v>32777</v>
      </c>
      <c r="C11" s="15"/>
      <c r="D11" s="16"/>
    </row>
    <row r="12" spans="1:4" ht="15.5" x14ac:dyDescent="0.35">
      <c r="A12" s="116" t="s">
        <v>52</v>
      </c>
      <c r="B12" s="120">
        <v>35803</v>
      </c>
      <c r="C12" s="15"/>
      <c r="D12" s="16"/>
    </row>
    <row r="13" spans="1:4" ht="15.5" x14ac:dyDescent="0.35">
      <c r="A13" s="116" t="s">
        <v>53</v>
      </c>
      <c r="B13" s="120">
        <v>44432</v>
      </c>
      <c r="C13" s="15"/>
      <c r="D13" s="16"/>
    </row>
    <row r="14" spans="1:4" ht="15.5" x14ac:dyDescent="0.35">
      <c r="A14" s="116" t="s">
        <v>54</v>
      </c>
      <c r="B14" s="120">
        <v>37141</v>
      </c>
      <c r="C14" s="15"/>
      <c r="D14" s="16"/>
    </row>
    <row r="15" spans="1:4" ht="15.5" x14ac:dyDescent="0.35">
      <c r="A15" s="116" t="s">
        <v>55</v>
      </c>
      <c r="B15" s="120">
        <v>40258</v>
      </c>
      <c r="C15" s="15"/>
      <c r="D15" s="16"/>
    </row>
    <row r="16" spans="1:4" ht="15.5" x14ac:dyDescent="0.35">
      <c r="A16" s="116" t="s">
        <v>56</v>
      </c>
      <c r="B16" s="120">
        <v>41173</v>
      </c>
      <c r="C16" s="15"/>
      <c r="D16" s="16"/>
    </row>
    <row r="17" spans="1:6" ht="15.5" x14ac:dyDescent="0.35">
      <c r="A17" s="116" t="s">
        <v>57</v>
      </c>
      <c r="B17" s="120">
        <v>32036</v>
      </c>
      <c r="C17" s="15"/>
      <c r="D17" s="16"/>
    </row>
    <row r="18" spans="1:6" ht="15.5" x14ac:dyDescent="0.35">
      <c r="A18" s="116" t="s">
        <v>58</v>
      </c>
      <c r="B18" s="120">
        <v>60105</v>
      </c>
      <c r="C18" s="15"/>
      <c r="D18" s="16"/>
    </row>
    <row r="19" spans="1:6" ht="15.5" x14ac:dyDescent="0.35">
      <c r="A19" s="116" t="s">
        <v>59</v>
      </c>
      <c r="B19" s="120">
        <v>96107</v>
      </c>
      <c r="C19" s="15"/>
      <c r="D19" s="16"/>
    </row>
    <row r="20" spans="1:6" ht="15.5" x14ac:dyDescent="0.35">
      <c r="A20" s="116" t="s">
        <v>60</v>
      </c>
      <c r="B20" s="120">
        <v>101903</v>
      </c>
      <c r="C20" s="15"/>
      <c r="D20" s="16"/>
    </row>
    <row r="21" spans="1:6" ht="15.5" x14ac:dyDescent="0.35">
      <c r="A21" s="116" t="s">
        <v>61</v>
      </c>
      <c r="B21" s="120">
        <v>68648</v>
      </c>
      <c r="C21" s="15"/>
      <c r="D21" s="16"/>
    </row>
    <row r="22" spans="1:6" ht="15.5" x14ac:dyDescent="0.35">
      <c r="A22" s="116" t="s">
        <v>62</v>
      </c>
      <c r="B22" s="120">
        <v>104344</v>
      </c>
      <c r="C22" s="15"/>
      <c r="D22" s="16"/>
    </row>
    <row r="23" spans="1:6" ht="15.5" x14ac:dyDescent="0.35">
      <c r="A23" s="116" t="s">
        <v>63</v>
      </c>
      <c r="B23" s="120">
        <v>61810</v>
      </c>
      <c r="C23" s="15"/>
      <c r="D23" s="16"/>
    </row>
    <row r="24" spans="1:6" ht="15.5" x14ac:dyDescent="0.35">
      <c r="A24" s="116" t="s">
        <v>64</v>
      </c>
      <c r="B24" s="120">
        <v>47675</v>
      </c>
      <c r="C24" s="15"/>
      <c r="D24" s="16"/>
    </row>
    <row r="25" spans="1:6" ht="15.5" x14ac:dyDescent="0.35">
      <c r="A25" s="116" t="s">
        <v>65</v>
      </c>
      <c r="B25" s="120">
        <v>45265</v>
      </c>
      <c r="C25" s="15"/>
      <c r="D25" s="16"/>
    </row>
    <row r="26" spans="1:6" ht="15.5" x14ac:dyDescent="0.35">
      <c r="A26" s="124" t="s">
        <v>81</v>
      </c>
      <c r="B26" s="125">
        <v>65007</v>
      </c>
      <c r="C26" s="15"/>
      <c r="D26" s="16"/>
      <c r="E26" s="16"/>
    </row>
    <row r="27" spans="1:6" ht="15.5" x14ac:dyDescent="0.35">
      <c r="A27" s="117" t="s">
        <v>138</v>
      </c>
      <c r="B27" s="121">
        <v>339900</v>
      </c>
      <c r="D27" s="16"/>
      <c r="E27" s="11"/>
      <c r="F27" s="11"/>
    </row>
    <row r="28" spans="1:6" ht="15.5" x14ac:dyDescent="0.35">
      <c r="A28" s="117" t="s">
        <v>139</v>
      </c>
      <c r="B28" s="121">
        <v>694725</v>
      </c>
      <c r="D28" s="16"/>
      <c r="E28" s="11"/>
      <c r="F28" s="11"/>
    </row>
    <row r="29" spans="1:6" ht="15.5" x14ac:dyDescent="0.35">
      <c r="A29" s="118" t="s">
        <v>141</v>
      </c>
      <c r="B29" s="122">
        <v>219757</v>
      </c>
      <c r="D29" s="16"/>
      <c r="E29" s="11"/>
      <c r="F29" s="11"/>
    </row>
    <row r="30" spans="1:6" ht="14.5" customHeight="1" x14ac:dyDescent="0.35">
      <c r="A30" s="8" t="s">
        <v>35</v>
      </c>
      <c r="B30" s="10"/>
      <c r="C30" s="10"/>
      <c r="D30" s="10"/>
      <c r="E30" s="10"/>
      <c r="F30" s="10"/>
    </row>
    <row r="31" spans="1:6" x14ac:dyDescent="0.35">
      <c r="A31" s="8" t="s">
        <v>136</v>
      </c>
      <c r="B31" s="10"/>
      <c r="C31" s="10"/>
      <c r="D31" s="10"/>
      <c r="E31" s="10"/>
      <c r="F31" s="10"/>
    </row>
    <row r="32" spans="1:6" ht="14.5" customHeight="1" x14ac:dyDescent="0.35">
      <c r="A32" s="8" t="s">
        <v>137</v>
      </c>
      <c r="B32" s="10"/>
      <c r="C32" s="10"/>
      <c r="D32" s="10"/>
      <c r="E32" s="10"/>
      <c r="F32" s="10"/>
    </row>
    <row r="33" spans="1:6" ht="14.5" customHeight="1" x14ac:dyDescent="0.35">
      <c r="A33" s="8" t="s">
        <v>170</v>
      </c>
      <c r="B33" s="10"/>
      <c r="C33" s="10"/>
      <c r="D33" s="10"/>
      <c r="E33" s="10"/>
      <c r="F33" s="10"/>
    </row>
    <row r="34" spans="1:6" ht="14.5" customHeight="1" x14ac:dyDescent="0.35">
      <c r="A34" s="8" t="s">
        <v>175</v>
      </c>
      <c r="B34" s="10"/>
      <c r="C34" s="10"/>
      <c r="D34" s="10"/>
      <c r="E34" s="10"/>
      <c r="F34" s="10"/>
    </row>
    <row r="35" spans="1:6" ht="14.5" customHeight="1" x14ac:dyDescent="0.35">
      <c r="A35" s="8" t="s">
        <v>176</v>
      </c>
      <c r="B35" s="10"/>
      <c r="C35" s="10"/>
      <c r="D35" s="10"/>
      <c r="E35" s="10"/>
      <c r="F35" s="10"/>
    </row>
    <row r="36" spans="1:6" ht="14.5" customHeight="1" x14ac:dyDescent="0.35">
      <c r="A36" s="68" t="s">
        <v>174</v>
      </c>
      <c r="B36" s="41"/>
      <c r="C36" s="41"/>
      <c r="D36" s="41"/>
      <c r="E36" s="41"/>
      <c r="F36" s="41"/>
    </row>
  </sheetData>
  <conditionalFormatting sqref="D27:D29">
    <cfRule type="dataBar" priority="2">
      <dataBar>
        <cfvo type="min"/>
        <cfvo type="max"/>
        <color rgb="FFE6007E"/>
      </dataBar>
      <extLst>
        <ext xmlns:x14="http://schemas.microsoft.com/office/spreadsheetml/2009/9/main" uri="{B025F937-C7B1-47D3-B67F-A62EFF666E3E}">
          <x14:id>{4F5C5D7B-20DA-4416-86E7-B4C2A3CD40FF}</x14:id>
        </ext>
      </extLst>
    </cfRule>
  </conditionalFormatting>
  <conditionalFormatting sqref="D26:E26 D27:D29 D5:D25">
    <cfRule type="dataBar" priority="99">
      <dataBar>
        <cfvo type="min"/>
        <cfvo type="max"/>
        <color rgb="FFE6007E"/>
      </dataBar>
      <extLst>
        <ext xmlns:x14="http://schemas.microsoft.com/office/spreadsheetml/2009/9/main" uri="{B025F937-C7B1-47D3-B67F-A62EFF666E3E}">
          <x14:id>{54219F96-2B54-44B6-BBD7-1ACE985C8562}</x14:id>
        </ext>
      </extLst>
    </cfRule>
  </conditionalFormatting>
  <conditionalFormatting sqref="D26:E26 D27:D29 D5:D25">
    <cfRule type="dataBar" priority="101">
      <dataBar>
        <cfvo type="percent" val="0"/>
        <cfvo type="percent" val="100"/>
        <color rgb="FFE6007E"/>
      </dataBar>
      <extLst>
        <ext xmlns:x14="http://schemas.microsoft.com/office/spreadsheetml/2009/9/main" uri="{B025F937-C7B1-47D3-B67F-A62EFF666E3E}">
          <x14:id>{830BEDFE-4A83-4A0D-8C09-3C23943AC164}</x14:id>
        </ext>
      </extLst>
    </cfRule>
  </conditionalFormatting>
  <pageMargins left="0.7" right="0.7" top="0.75" bottom="0.75" header="0.3" footer="0.3"/>
  <tableParts count="1">
    <tablePart r:id="rId1"/>
  </tableParts>
  <extLst>
    <ext xmlns:x14="http://schemas.microsoft.com/office/spreadsheetml/2009/9/main" uri="{78C0D931-6437-407d-A8EE-F0AAD7539E65}">
      <x14:conditionalFormattings>
        <x14:conditionalFormatting xmlns:xm="http://schemas.microsoft.com/office/excel/2006/main">
          <x14:cfRule type="dataBar" id="{4F5C5D7B-20DA-4416-86E7-B4C2A3CD40FF}">
            <x14:dataBar minLength="0" maxLength="100">
              <x14:cfvo type="autoMin"/>
              <x14:cfvo type="autoMax"/>
              <x14:negativeFillColor rgb="FFFF0000"/>
              <x14:axisColor rgb="FF000000"/>
            </x14:dataBar>
          </x14:cfRule>
          <xm:sqref>D27:D29</xm:sqref>
        </x14:conditionalFormatting>
        <x14:conditionalFormatting xmlns:xm="http://schemas.microsoft.com/office/excel/2006/main">
          <x14:cfRule type="dataBar" id="{54219F96-2B54-44B6-BBD7-1ACE985C8562}">
            <x14:dataBar minLength="0" maxLength="100">
              <x14:cfvo type="autoMin"/>
              <x14:cfvo type="autoMax"/>
              <x14:negativeFillColor rgb="FFFF0000"/>
              <x14:axisColor rgb="FF000000"/>
            </x14:dataBar>
          </x14:cfRule>
          <xm:sqref>D26:E26 D27:D29 D5:D25</xm:sqref>
        </x14:conditionalFormatting>
        <x14:conditionalFormatting xmlns:xm="http://schemas.microsoft.com/office/excel/2006/main">
          <x14:cfRule type="dataBar" id="{830BEDFE-4A83-4A0D-8C09-3C23943AC164}">
            <x14:dataBar minLength="0" maxLength="100">
              <x14:cfvo type="percent">
                <xm:f>0</xm:f>
              </x14:cfvo>
              <x14:cfvo type="percent">
                <xm:f>100</xm:f>
              </x14:cfvo>
              <x14:negativeFillColor rgb="FFFF0000"/>
              <x14:axisColor rgb="FF000000"/>
            </x14:dataBar>
          </x14:cfRule>
          <xm:sqref>D26:E26 D27:D29 D5:D25</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A29852754</value>
    </field>
    <field name="Objective-Title">
      <value order="0">Tables v1 raw data linked (IN PROGRESS)</value>
    </field>
    <field name="Objective-Description">
      <value order="0"/>
    </field>
    <field name="Objective-CreationStamp">
      <value order="0">2020-09-04T17:18:50Z</value>
    </field>
    <field name="Objective-IsApproved">
      <value order="0">false</value>
    </field>
    <field name="Objective-IsPublished">
      <value order="0">false</value>
    </field>
    <field name="Objective-DatePublished">
      <value order="0"/>
    </field>
    <field name="Objective-ModificationStamp">
      <value order="0">2020-09-07T12:29:03Z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vA43437730</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Contents</vt:lpstr>
      <vt:lpstr>Table 1 Applications by month</vt:lpstr>
      <vt:lpstr>Table 2 Applications by channel</vt:lpstr>
      <vt:lpstr>Table 3 Applications by age</vt:lpstr>
      <vt:lpstr>Table 4 Applications by LA</vt:lpstr>
      <vt:lpstr>Table 5 Cared for People</vt:lpstr>
      <vt:lpstr>Table 6 Processing Times</vt:lpstr>
      <vt:lpstr>Table 7 Payments by LA</vt:lpstr>
      <vt:lpstr>Table 8 Payments by month</vt:lpstr>
      <vt:lpstr>Table 9 Clients by payments</vt:lpstr>
      <vt:lpstr>Table 10 Re-determinations</vt:lpstr>
      <vt:lpstr>Chart 1</vt:lpstr>
      <vt:lpstr>Table 3 Full data</vt:lpstr>
      <vt:lpstr>Table 4 Full data</vt:lpstr>
      <vt:lpstr>Table 7 Full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2021-09-16T10:56:12Z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A29852754</vt:lpwstr>
  </property>
  <property fmtid="{D5CDD505-2E9C-101B-9397-08002B2CF9AE}" pid="4" name="Objective-Title">
    <vt:lpwstr>Tables v1 raw data linked (IN PROGRESS)</vt:lpwstr>
  </property>
  <property fmtid="{D5CDD505-2E9C-101B-9397-08002B2CF9AE}" pid="5" name="Objective-Description">
    <vt:lpwstr/>
  </property>
  <property fmtid="{D5CDD505-2E9C-101B-9397-08002B2CF9AE}" pid="6" name="Objective-CreationStamp">
    <vt:filetime>2020-09-04T17:18:58Z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2020-09-07T12:29:03Z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vA43437730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